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11715" windowHeight="9255" firstSheet="1" activeTab="1"/>
  </bookViews>
  <sheets>
    <sheet name="Tabelle2" sheetId="2" state="hidden" r:id="rId1"/>
    <sheet name=" Proposed Study Budget " sheetId="4" r:id="rId2"/>
    <sheet name="Summary of Time" sheetId="3" state="hidden" r:id="rId3"/>
    <sheet name="Payment Summary" sheetId="5" r:id="rId4"/>
  </sheets>
  <calcPr calcId="145621"/>
</workbook>
</file>

<file path=xl/calcChain.xml><?xml version="1.0" encoding="utf-8"?>
<calcChain xmlns="http://schemas.openxmlformats.org/spreadsheetml/2006/main">
  <c r="D2" i="4" l="1"/>
  <c r="B17" i="5" s="1"/>
  <c r="C2" i="4"/>
  <c r="O8" i="4" s="1"/>
  <c r="O10" i="4"/>
  <c r="C8" i="5"/>
  <c r="C6" i="5"/>
  <c r="C5" i="5"/>
  <c r="C3" i="5"/>
  <c r="B8" i="5"/>
  <c r="B5" i="5"/>
  <c r="B3" i="5"/>
  <c r="E26" i="4"/>
  <c r="N45" i="4"/>
  <c r="N39" i="4"/>
  <c r="N40" i="4"/>
  <c r="N41" i="4"/>
  <c r="N42" i="4"/>
  <c r="N43" i="4"/>
  <c r="N44" i="4"/>
  <c r="N38" i="4"/>
  <c r="O7" i="4" l="1"/>
  <c r="B18" i="5"/>
  <c r="O9" i="4"/>
  <c r="Q40" i="4"/>
  <c r="R40" i="4" s="1"/>
  <c r="C30" i="4"/>
  <c r="D30" i="4"/>
  <c r="B30" i="4"/>
  <c r="O33" i="4" l="1"/>
  <c r="G33" i="4"/>
  <c r="N33" i="4"/>
  <c r="P33" i="4" l="1"/>
  <c r="R42" i="4"/>
  <c r="R43" i="4"/>
  <c r="Q33" i="4" l="1"/>
  <c r="R33" i="4" s="1"/>
  <c r="O14" i="4" l="1"/>
  <c r="O15" i="4"/>
  <c r="O16" i="4"/>
  <c r="M15" i="4"/>
  <c r="G15" i="4"/>
  <c r="N15" i="4" s="1"/>
  <c r="P15" i="4" s="1"/>
  <c r="Q15" i="4" l="1"/>
  <c r="R15" i="4" s="1"/>
  <c r="O17" i="4" l="1"/>
  <c r="O29" i="4"/>
  <c r="O28" i="4"/>
  <c r="O27" i="4"/>
  <c r="O23" i="4"/>
  <c r="O22" i="4"/>
  <c r="O21" i="4"/>
  <c r="O20" i="4"/>
  <c r="O18" i="4"/>
  <c r="O13" i="4"/>
  <c r="O12" i="4"/>
  <c r="O11" i="4"/>
  <c r="M35" i="4"/>
  <c r="M34" i="4"/>
  <c r="M17" i="4"/>
  <c r="L35" i="4"/>
  <c r="L34" i="4"/>
  <c r="G35" i="4"/>
  <c r="G34" i="4"/>
  <c r="G17" i="4"/>
  <c r="M29" i="4"/>
  <c r="M28" i="4"/>
  <c r="L29" i="4"/>
  <c r="L28" i="4"/>
  <c r="J29" i="4"/>
  <c r="J28" i="4"/>
  <c r="I29" i="4"/>
  <c r="I28" i="4"/>
  <c r="N17" i="4" l="1"/>
  <c r="P17" i="4" s="1"/>
  <c r="N34" i="4"/>
  <c r="P34" i="4" s="1"/>
  <c r="N29" i="4"/>
  <c r="P29" i="4" s="1"/>
  <c r="N35" i="4"/>
  <c r="P35" i="4" s="1"/>
  <c r="N28" i="4"/>
  <c r="P28" i="4" s="1"/>
  <c r="Q35" i="4" l="1"/>
  <c r="R35" i="4" s="1"/>
  <c r="Q17" i="4"/>
  <c r="R17" i="4"/>
  <c r="Q29" i="4"/>
  <c r="R29" i="4" s="1"/>
  <c r="Q28" i="4"/>
  <c r="R28" i="4" s="1"/>
  <c r="Q34" i="4"/>
  <c r="R34" i="4" s="1"/>
  <c r="R44" i="4"/>
  <c r="R41" i="4" l="1"/>
  <c r="Q38" i="4"/>
  <c r="R38" i="4" s="1"/>
  <c r="Q45" i="4" l="1"/>
  <c r="R45" i="4" s="1"/>
  <c r="C8" i="3" l="1"/>
  <c r="C9" i="3"/>
  <c r="C10" i="3"/>
  <c r="C11" i="3"/>
  <c r="C12" i="3"/>
  <c r="C13" i="3"/>
  <c r="C14" i="3"/>
  <c r="C16" i="3"/>
  <c r="O50" i="4" l="1"/>
  <c r="C6" i="4"/>
  <c r="D6" i="4"/>
  <c r="B6" i="4"/>
  <c r="E16" i="4" l="1"/>
  <c r="E14" i="4"/>
  <c r="E8" i="4"/>
  <c r="F8" i="4" s="1"/>
  <c r="N8" i="4" s="1"/>
  <c r="P8" i="4" s="1"/>
  <c r="E7" i="4"/>
  <c r="F7" i="4" s="1"/>
  <c r="E27" i="4"/>
  <c r="E9" i="4"/>
  <c r="F9" i="4" s="1"/>
  <c r="N9" i="4" s="1"/>
  <c r="P9" i="4" s="1"/>
  <c r="E20" i="4"/>
  <c r="E25" i="4"/>
  <c r="E11" i="4"/>
  <c r="E24" i="4"/>
  <c r="E10" i="4"/>
  <c r="E23" i="4"/>
  <c r="E13" i="4"/>
  <c r="E12" i="4"/>
  <c r="E18" i="4"/>
  <c r="E21" i="4"/>
  <c r="M26" i="4"/>
  <c r="E19" i="4"/>
  <c r="G19" i="4" s="1"/>
  <c r="E22" i="4"/>
  <c r="N19" i="4" l="1"/>
  <c r="P19" i="4" s="1"/>
  <c r="C16" i="5"/>
  <c r="D16" i="5" s="1"/>
  <c r="N26" i="4"/>
  <c r="P26" i="4" s="1"/>
  <c r="C18" i="5"/>
  <c r="D18" i="5" s="1"/>
  <c r="M16" i="4"/>
  <c r="G16" i="4"/>
  <c r="Q8" i="4"/>
  <c r="R8" i="4" s="1"/>
  <c r="Q19" i="4"/>
  <c r="R19" i="4" s="1"/>
  <c r="Q9" i="4"/>
  <c r="R9" i="4" s="1"/>
  <c r="Q26" i="4"/>
  <c r="R26" i="4" s="1"/>
  <c r="M14" i="4"/>
  <c r="G14" i="4"/>
  <c r="L20" i="4"/>
  <c r="G20" i="4"/>
  <c r="M20" i="4"/>
  <c r="M12" i="4"/>
  <c r="G12" i="4"/>
  <c r="B6" i="3"/>
  <c r="F10" i="4"/>
  <c r="C17" i="5" s="1"/>
  <c r="D17" i="5" s="1"/>
  <c r="J25" i="4"/>
  <c r="M25" i="4"/>
  <c r="I25" i="4"/>
  <c r="B6" i="5" s="1"/>
  <c r="L25" i="4"/>
  <c r="B9" i="5" s="1"/>
  <c r="N7" i="4"/>
  <c r="M22" i="4"/>
  <c r="H22" i="4"/>
  <c r="L22" i="4"/>
  <c r="K22" i="4"/>
  <c r="I22" i="4"/>
  <c r="J22" i="4"/>
  <c r="I21" i="4"/>
  <c r="G21" i="4"/>
  <c r="J21" i="4"/>
  <c r="M21" i="4"/>
  <c r="K21" i="4"/>
  <c r="H21" i="4"/>
  <c r="L21" i="4"/>
  <c r="L23" i="4"/>
  <c r="K23" i="4"/>
  <c r="G23" i="4"/>
  <c r="J23" i="4"/>
  <c r="H23" i="4"/>
  <c r="I23" i="4"/>
  <c r="M23" i="4"/>
  <c r="J24" i="4"/>
  <c r="L24" i="4"/>
  <c r="C9" i="5" s="1"/>
  <c r="M24" i="4"/>
  <c r="M13" i="4"/>
  <c r="L13" i="4"/>
  <c r="G13" i="4"/>
  <c r="M18" i="4"/>
  <c r="J18" i="4"/>
  <c r="G18" i="4"/>
  <c r="J11" i="4"/>
  <c r="M11" i="4"/>
  <c r="G11" i="4"/>
  <c r="C4" i="5" s="1"/>
  <c r="L11" i="4"/>
  <c r="I27" i="4"/>
  <c r="L27" i="4"/>
  <c r="H27" i="4"/>
  <c r="M27" i="4"/>
  <c r="K27" i="4"/>
  <c r="J27" i="4"/>
  <c r="B4" i="3"/>
  <c r="B5" i="3"/>
  <c r="B11" i="3"/>
  <c r="D11" i="3" s="1"/>
  <c r="B14" i="3"/>
  <c r="D14" i="3" s="1"/>
  <c r="B13" i="3"/>
  <c r="D13" i="3" s="1"/>
  <c r="B8" i="3"/>
  <c r="D8" i="3" s="1"/>
  <c r="Q39" i="4"/>
  <c r="R39" i="4" s="1"/>
  <c r="F20" i="5" s="1"/>
  <c r="B16" i="3"/>
  <c r="D16" i="3" s="1"/>
  <c r="B10" i="3"/>
  <c r="D10" i="3" s="1"/>
  <c r="B9" i="3"/>
  <c r="D9" i="3" s="1"/>
  <c r="B12" i="3"/>
  <c r="D12" i="3" s="1"/>
  <c r="M50" i="4"/>
  <c r="C5" i="3"/>
  <c r="N50" i="4"/>
  <c r="C4" i="3"/>
  <c r="E68" i="2"/>
  <c r="F68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44" i="2"/>
  <c r="B7" i="5" l="1"/>
  <c r="B4" i="5"/>
  <c r="C7" i="5"/>
  <c r="C10" i="5"/>
  <c r="B10" i="5"/>
  <c r="P7" i="4"/>
  <c r="N14" i="4"/>
  <c r="P14" i="4" s="1"/>
  <c r="Q14" i="4"/>
  <c r="R14" i="4" s="1"/>
  <c r="N16" i="4"/>
  <c r="P16" i="4" s="1"/>
  <c r="D4" i="3"/>
  <c r="E4" i="3" s="1"/>
  <c r="F4" i="3" s="1"/>
  <c r="N10" i="4"/>
  <c r="C6" i="3"/>
  <c r="D6" i="3" s="1"/>
  <c r="E6" i="3" s="1"/>
  <c r="F6" i="3" s="1"/>
  <c r="N13" i="4"/>
  <c r="P13" i="4" s="1"/>
  <c r="N27" i="4"/>
  <c r="P27" i="4" s="1"/>
  <c r="N12" i="4"/>
  <c r="P12" i="4" s="1"/>
  <c r="N11" i="4"/>
  <c r="P11" i="4" s="1"/>
  <c r="N22" i="4"/>
  <c r="P22" i="4" s="1"/>
  <c r="N24" i="4"/>
  <c r="P24" i="4" s="1"/>
  <c r="N25" i="4"/>
  <c r="P25" i="4" s="1"/>
  <c r="N20" i="4"/>
  <c r="P20" i="4" s="1"/>
  <c r="N18" i="4"/>
  <c r="P18" i="4" s="1"/>
  <c r="N23" i="4"/>
  <c r="P23" i="4" s="1"/>
  <c r="N21" i="4"/>
  <c r="P21" i="4" s="1"/>
  <c r="D5" i="3"/>
  <c r="E13" i="3"/>
  <c r="F13" i="3" s="1"/>
  <c r="E14" i="3"/>
  <c r="F14" i="3" s="1"/>
  <c r="E12" i="3"/>
  <c r="F12" i="3" s="1"/>
  <c r="E11" i="3"/>
  <c r="F11" i="3" s="1"/>
  <c r="E10" i="3"/>
  <c r="F10" i="3" s="1"/>
  <c r="E16" i="3"/>
  <c r="F16" i="3" s="1"/>
  <c r="E9" i="3"/>
  <c r="F9" i="3" s="1"/>
  <c r="E8" i="3"/>
  <c r="F8" i="3" s="1"/>
  <c r="N45" i="2"/>
  <c r="N46" i="2"/>
  <c r="N47" i="2"/>
  <c r="N48" i="2"/>
  <c r="N50" i="2"/>
  <c r="N51" i="2"/>
  <c r="N52" i="2"/>
  <c r="N53" i="2"/>
  <c r="N55" i="2"/>
  <c r="N56" i="2"/>
  <c r="N57" i="2"/>
  <c r="N59" i="2"/>
  <c r="N60" i="2"/>
  <c r="N44" i="2"/>
  <c r="B11" i="5" l="1"/>
  <c r="B12" i="5" s="1"/>
  <c r="N47" i="4"/>
  <c r="Q7" i="4"/>
  <c r="R7" i="4" s="1"/>
  <c r="C11" i="5"/>
  <c r="C12" i="5" s="1"/>
  <c r="P10" i="4"/>
  <c r="Q10" i="4" s="1"/>
  <c r="Q22" i="4"/>
  <c r="R22" i="4"/>
  <c r="Q13" i="4"/>
  <c r="R13" i="4" s="1"/>
  <c r="Q21" i="4"/>
  <c r="R21" i="4" s="1"/>
  <c r="Q25" i="4"/>
  <c r="R25" i="4" s="1"/>
  <c r="Q11" i="4"/>
  <c r="R11" i="4" s="1"/>
  <c r="Q16" i="4"/>
  <c r="R16" i="4" s="1"/>
  <c r="Q18" i="4"/>
  <c r="R18" i="4" s="1"/>
  <c r="Q27" i="4"/>
  <c r="R27" i="4" s="1"/>
  <c r="Q20" i="4"/>
  <c r="R20" i="4" s="1"/>
  <c r="Q23" i="4"/>
  <c r="R23" i="4" s="1"/>
  <c r="Q24" i="4"/>
  <c r="R24" i="4" s="1"/>
  <c r="Q12" i="4"/>
  <c r="R12" i="4" s="1"/>
  <c r="D18" i="3"/>
  <c r="E5" i="3"/>
  <c r="F5" i="3" s="1"/>
  <c r="F18" i="3" s="1"/>
  <c r="F21" i="3" s="1"/>
  <c r="G21" i="3" s="1"/>
  <c r="H21" i="3" s="1"/>
  <c r="I21" i="3" s="1"/>
  <c r="N62" i="2"/>
  <c r="G68" i="2"/>
  <c r="F22" i="5" l="1"/>
  <c r="F18" i="5"/>
  <c r="F12" i="5"/>
  <c r="Q47" i="4"/>
  <c r="R10" i="4"/>
  <c r="R53" i="4" s="1"/>
  <c r="F23" i="3"/>
  <c r="G23" i="3" s="1"/>
  <c r="H23" i="3" s="1"/>
  <c r="I23" i="3" s="1"/>
  <c r="F22" i="3"/>
  <c r="G22" i="3" s="1"/>
  <c r="H22" i="3" s="1"/>
  <c r="I22" i="3" s="1"/>
  <c r="H78" i="2"/>
  <c r="R47" i="4" l="1"/>
  <c r="R50" i="4"/>
  <c r="G78" i="2"/>
  <c r="F74" i="2" l="1"/>
  <c r="A68" i="2" l="1"/>
  <c r="I68" i="2" s="1"/>
</calcChain>
</file>

<file path=xl/comments1.xml><?xml version="1.0" encoding="utf-8"?>
<comments xmlns="http://schemas.openxmlformats.org/spreadsheetml/2006/main">
  <authors>
    <author>Siegling, Sabine</author>
  </authors>
  <commentList>
    <comment ref="G8" authorId="0">
      <text>
        <r>
          <rPr>
            <b/>
            <sz val="9"/>
            <color indexed="81"/>
            <rFont val="Tahoma"/>
            <family val="2"/>
          </rPr>
          <t>Siegling, Sabine:</t>
        </r>
        <r>
          <rPr>
            <sz val="9"/>
            <color indexed="81"/>
            <rFont val="Tahoma"/>
            <family val="2"/>
          </rPr>
          <t xml:space="preserve">
Gruppe A: ambulant im HDZ
Gruppe B: Telefonvisite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Siegling, Sabine:</t>
        </r>
        <r>
          <rPr>
            <sz val="9"/>
            <color indexed="81"/>
            <rFont val="Tahoma"/>
            <family val="2"/>
          </rPr>
          <t xml:space="preserve">
Gruppe A: ambulant im HDZ
Gruppe B: Telefonvisite</t>
        </r>
      </text>
    </comment>
  </commentList>
</comments>
</file>

<file path=xl/sharedStrings.xml><?xml version="1.0" encoding="utf-8"?>
<sst xmlns="http://schemas.openxmlformats.org/spreadsheetml/2006/main" count="309" uniqueCount="182">
  <si>
    <t>Proposal CAT-HF</t>
  </si>
  <si>
    <t>Baseline</t>
  </si>
  <si>
    <t>(±1 weeks)</t>
  </si>
  <si>
    <t>"1 mo"</t>
  </si>
  <si>
    <t>"2 mo"</t>
  </si>
  <si>
    <t>(±2 weeks)</t>
  </si>
  <si>
    <t>"3 mo"</t>
  </si>
  <si>
    <t>"6 mo"</t>
  </si>
  <si>
    <t>X</t>
  </si>
  <si>
    <t>Device Run-in</t>
  </si>
  <si>
    <t>KCCQ, ESS, PSQI</t>
  </si>
  <si>
    <t>DASI, EQ-5D-5L, PHQ-9</t>
  </si>
  <si>
    <t>Echocardiography</t>
  </si>
  <si>
    <t>Assess adherence with medical therapy</t>
  </si>
  <si>
    <t>Discussion of sleep hygiene</t>
  </si>
  <si>
    <t>Post study SDB management plan</t>
  </si>
  <si>
    <r>
      <t>3</t>
    </r>
    <r>
      <rPr>
        <sz val="8"/>
        <color theme="1"/>
        <rFont val="Calibri"/>
        <family val="2"/>
        <scheme val="minor"/>
      </rPr>
      <t>Use independent assessor (blinded to treatment group).</t>
    </r>
  </si>
  <si>
    <t>1 week</t>
  </si>
  <si>
    <t>1Mo</t>
  </si>
  <si>
    <t>3Mo</t>
  </si>
  <si>
    <t>6Mo</t>
  </si>
  <si>
    <t>6MWT</t>
  </si>
  <si>
    <t>Set-up Fee</t>
  </si>
  <si>
    <t>Cardiologic examination</t>
  </si>
  <si>
    <t>Questionnaires</t>
  </si>
  <si>
    <t>CRF completion</t>
  </si>
  <si>
    <t>ASV Device download (Group A)</t>
  </si>
  <si>
    <t>Subject Stipend</t>
  </si>
  <si>
    <t>No. Enrolled Subjects</t>
  </si>
  <si>
    <t>Medical Study Director</t>
  </si>
  <si>
    <t>Management Fee</t>
  </si>
  <si>
    <t>Total</t>
  </si>
  <si>
    <t>ECG</t>
  </si>
  <si>
    <t>Screening</t>
  </si>
  <si>
    <t>"Day 0"</t>
  </si>
  <si>
    <t>Discharge</t>
  </si>
  <si>
    <t>2-3 days</t>
  </si>
  <si>
    <t>Post-discharge</t>
  </si>
  <si>
    <r>
      <t>1 week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</si>
  <si>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(7-12 days)</t>
  </si>
  <si>
    <r>
      <t>4 weeks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</si>
  <si>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9 weeks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</si>
  <si>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13 weeks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</si>
  <si>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26 weeks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</si>
  <si>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 xml:space="preserve">Visit Location:  </t>
  </si>
  <si>
    <t>In Hospital</t>
  </si>
  <si>
    <t>Phone call</t>
  </si>
  <si>
    <t>Clinic</t>
  </si>
  <si>
    <t xml:space="preserve"> Review of HF history, signs &amp; symptoms</t>
  </si>
  <si>
    <t xml:space="preserve"> ApneaLink Plus test</t>
  </si>
  <si>
    <r>
      <t>X</t>
    </r>
    <r>
      <rPr>
        <vertAlign val="superscript"/>
        <sz val="11"/>
        <color theme="1"/>
        <rFont val="Calibri"/>
        <family val="2"/>
        <scheme val="minor"/>
      </rPr>
      <t>3</t>
    </r>
  </si>
  <si>
    <t>Oximetry with S9 adapter</t>
  </si>
  <si>
    <r>
      <t>X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</si>
  <si>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Cardiovascular examination </t>
  </si>
  <si>
    <r>
      <t>(includes ECG and NYHA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</si>
  <si>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r>
      <t>X</t>
    </r>
    <r>
      <rPr>
        <vertAlign val="superscript"/>
        <sz val="11"/>
        <color theme="1"/>
        <rFont val="Calibri"/>
        <family val="2"/>
        <scheme val="minor"/>
      </rPr>
      <t>5</t>
    </r>
  </si>
  <si>
    <r>
      <t>Exercise capacity testing (6MWT)</t>
    </r>
    <r>
      <rPr>
        <vertAlign val="superscript"/>
        <sz val="11"/>
        <color theme="1"/>
        <rFont val="Calibri"/>
        <family val="2"/>
        <scheme val="minor"/>
      </rPr>
      <t>4</t>
    </r>
  </si>
  <si>
    <r>
      <t>Initiation of ASV Therapy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</si>
  <si>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ASV Device download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</si>
  <si>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>Implanted device download, if applicable</t>
  </si>
  <si>
    <t>AE monitoring</t>
  </si>
  <si>
    <r>
      <t>Assess mask or device issues</t>
    </r>
    <r>
      <rPr>
        <vertAlign val="superscript"/>
        <sz val="11"/>
        <color theme="1"/>
        <rFont val="Calibri"/>
        <family val="2"/>
        <scheme val="minor"/>
      </rPr>
      <t>2</t>
    </r>
  </si>
  <si>
    <t>Documentation of Routine Labs</t>
  </si>
  <si>
    <t xml:space="preserve">Central Labs (NT pro-BNP, Troponin-I </t>
  </si>
  <si>
    <t>ultra-sensitive, hs-CRP, creatinine)</t>
  </si>
  <si>
    <t>Blood for banking</t>
  </si>
  <si>
    <r>
      <t>1</t>
    </r>
    <r>
      <rPr>
        <sz val="10"/>
        <color theme="1"/>
        <rFont val="Calibri"/>
        <family val="2"/>
        <scheme val="minor"/>
      </rPr>
      <t xml:space="preserve"> Following randomization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</si>
  <si>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2 </t>
    </r>
    <r>
      <rPr>
        <sz val="10"/>
        <color theme="1"/>
        <rFont val="Calibri"/>
        <family val="2"/>
        <scheme val="minor"/>
      </rPr>
      <t>Group A only.</t>
    </r>
  </si>
  <si>
    <r>
      <t xml:space="preserve">3 </t>
    </r>
    <r>
      <rPr>
        <sz val="10"/>
        <color theme="1"/>
        <rFont val="Calibri"/>
        <family val="2"/>
        <scheme val="minor"/>
      </rPr>
      <t>Group B only.</t>
    </r>
  </si>
  <si>
    <r>
      <t xml:space="preserve">4 </t>
    </r>
    <r>
      <rPr>
        <sz val="10"/>
        <color theme="1"/>
        <rFont val="Calibri"/>
        <family val="2"/>
        <scheme val="minor"/>
      </rPr>
      <t xml:space="preserve">Use independent assessor (blinded to treatment group).  </t>
    </r>
  </si>
  <si>
    <r>
      <t>5</t>
    </r>
    <r>
      <rPr>
        <sz val="11"/>
        <color theme="1"/>
        <rFont val="Calibri"/>
        <family val="2"/>
        <scheme val="minor"/>
      </rPr>
      <t xml:space="preserve">Cardiac exam </t>
    </r>
    <r>
      <rPr>
        <i/>
        <sz val="11"/>
        <color theme="1"/>
        <rFont val="Calibri"/>
        <family val="2"/>
        <scheme val="minor"/>
      </rPr>
      <t>except</t>
    </r>
    <r>
      <rPr>
        <sz val="11"/>
        <color theme="1"/>
        <rFont val="Calibri"/>
        <family val="2"/>
        <scheme val="minor"/>
      </rPr>
      <t xml:space="preserve"> for ECG and NYHA</t>
    </r>
  </si>
  <si>
    <r>
      <t>(±</t>
    </r>
    <r>
      <rPr>
        <u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week)</t>
    </r>
  </si>
  <si>
    <t>Budget/
Enrolled Subject</t>
  </si>
  <si>
    <t>No. ApneaLink Screens</t>
  </si>
  <si>
    <t>No. Device Run-Ins</t>
  </si>
  <si>
    <t>Budget for all subjects</t>
  </si>
  <si>
    <t>Screening ApneaLink Plus test</t>
  </si>
  <si>
    <t>Follow-up ApneaLink Plus (Group B)</t>
  </si>
  <si>
    <t>Hourly Rate</t>
  </si>
  <si>
    <t>PI Time (min)</t>
  </si>
  <si>
    <t>Study Coordinator Time (min)</t>
  </si>
  <si>
    <t>Chart review/Eligibility Confirmation</t>
  </si>
  <si>
    <t>Implanted Device download</t>
  </si>
  <si>
    <t>Subtotal</t>
  </si>
  <si>
    <t>Overhead</t>
  </si>
  <si>
    <t>Calculated Payment based on Time and Cost</t>
  </si>
  <si>
    <t>Blood draw/processing</t>
  </si>
  <si>
    <t>Mask/device issues; AE assessment</t>
  </si>
  <si>
    <t>2 days post Discharge (Phone)</t>
  </si>
  <si>
    <t>2Mo
(Phone)</t>
  </si>
  <si>
    <t>ASV Device setup/subject education (Group A)</t>
  </si>
  <si>
    <t>Follow-up of non-randomized subjects</t>
  </si>
  <si>
    <t>Admin (eg appt arrangments)</t>
  </si>
  <si>
    <t>NYHA Class assessment</t>
  </si>
  <si>
    <t>Other Tech time (min)</t>
  </si>
  <si>
    <t>No. Charts reviewed</t>
  </si>
  <si>
    <t>Cost of Procedure</t>
  </si>
  <si>
    <t>Budget/
Randomized Subject</t>
  </si>
  <si>
    <t>No. Randomized Subjects</t>
  </si>
  <si>
    <t>ASV Device setup (Group A)</t>
  </si>
  <si>
    <t>Set-up Fee (Flat)</t>
  </si>
  <si>
    <t>n/a</t>
  </si>
  <si>
    <t>Amount of Item</t>
  </si>
  <si>
    <t>Medication assess/document</t>
  </si>
  <si>
    <t>Time per subject (min)</t>
  </si>
  <si>
    <t>Informed Consent</t>
  </si>
  <si>
    <t>VPAP Adapt Device Run-in</t>
  </si>
  <si>
    <t>Screening/Enrollment</t>
  </si>
  <si>
    <t>ICF/ApneaLink Plus/data entry</t>
  </si>
  <si>
    <t>Randomized Subjects</t>
  </si>
  <si>
    <t>Baseline visit</t>
  </si>
  <si>
    <t>2 day post-discharge visit</t>
  </si>
  <si>
    <t>1 week visit</t>
  </si>
  <si>
    <t>1 month visit</t>
  </si>
  <si>
    <t>2 month visit</t>
  </si>
  <si>
    <t>3 month visit</t>
  </si>
  <si>
    <t>6 month visit</t>
  </si>
  <si>
    <t>Other events</t>
  </si>
  <si>
    <t>Monitoring visits</t>
  </si>
  <si>
    <t>Amount per subject</t>
  </si>
  <si>
    <t>Breakdown of Compensation for Staff Time</t>
  </si>
  <si>
    <t>N</t>
  </si>
  <si>
    <t>Extended Amount 
(incl o'head)</t>
  </si>
  <si>
    <t>per randomized subject</t>
  </si>
  <si>
    <t>PI time = 8.7%</t>
  </si>
  <si>
    <t>SC time = 80%</t>
  </si>
  <si>
    <t>other time = 11%</t>
  </si>
  <si>
    <t>per year</t>
  </si>
  <si>
    <t>%of ann. Salary</t>
  </si>
  <si>
    <t>per rand subj</t>
  </si>
  <si>
    <t>Subject Stipend for time</t>
  </si>
  <si>
    <t>PI Role
Time per event (min)</t>
  </si>
  <si>
    <t>Study Coordinator Role
 Time per event (min)</t>
  </si>
  <si>
    <t>Other Tech Role
Time per event (min)</t>
  </si>
  <si>
    <r>
      <rPr>
        <b/>
        <i/>
        <sz val="11"/>
        <color rgb="FF006100"/>
        <rFont val="Calibri"/>
        <family val="2"/>
        <scheme val="minor"/>
      </rPr>
      <t>Annual Salary Assumption</t>
    </r>
    <r>
      <rPr>
        <i/>
        <sz val="11"/>
        <color rgb="FF006100"/>
        <rFont val="Calibri"/>
        <family val="2"/>
        <scheme val="minor"/>
      </rPr>
      <t xml:space="preserve"> (including fringe benefits)</t>
    </r>
  </si>
  <si>
    <r>
      <rPr>
        <b/>
        <i/>
        <sz val="11"/>
        <color rgb="FF006100"/>
        <rFont val="Calibri"/>
        <family val="2"/>
        <scheme val="minor"/>
      </rPr>
      <t>Hourly Rate</t>
    </r>
    <r>
      <rPr>
        <i/>
        <sz val="11"/>
        <color rgb="FF006100"/>
        <rFont val="Calibri"/>
        <family val="2"/>
        <scheme val="minor"/>
      </rPr>
      <t xml:space="preserve"> (based on 2,000 hrs/yr)</t>
    </r>
  </si>
  <si>
    <t>Add'l hospital night at baseline, on ResMed approval</t>
  </si>
  <si>
    <t>Institutional Overhead</t>
  </si>
  <si>
    <t>IRB fees, initial</t>
  </si>
  <si>
    <t>Continuing IRB annual review</t>
  </si>
  <si>
    <t>NOT including Admin</t>
  </si>
  <si>
    <t>Including Admin</t>
  </si>
  <si>
    <t>Subject Stipend for transportation, as needed</t>
  </si>
  <si>
    <t>Extended Subtotal</t>
  </si>
  <si>
    <t>No. of events</t>
  </si>
  <si>
    <t>Expected number</t>
  </si>
  <si>
    <t>Administrative/Fixed Items (Invoiceable)</t>
  </si>
  <si>
    <t>6-Minute Walk Test</t>
  </si>
  <si>
    <t>Electrocardiogram (ECG) - time</t>
  </si>
  <si>
    <t>Electrocardiogram (ECG) - procedure</t>
  </si>
  <si>
    <t>Echocardiography (incl Contrast) - time</t>
  </si>
  <si>
    <t>Echocardiography (incl Contrast) - procedure</t>
  </si>
  <si>
    <t>Implanted Device Download (40% of subjects) - time</t>
  </si>
  <si>
    <t>Implanted Device Download (40% of subjects) - procedure</t>
  </si>
  <si>
    <t>Invoiced Procedures</t>
  </si>
  <si>
    <t>Study Close-out Fee (Flat)</t>
  </si>
  <si>
    <t>Pregnancy test, if needed (est 50% of rand)</t>
  </si>
  <si>
    <t>Subjects completing AL+, device run-in, and randomized into study</t>
  </si>
  <si>
    <t>Baseline Visit</t>
  </si>
  <si>
    <t>2-3 Days post-discharge call</t>
  </si>
  <si>
    <t>1 week Clinic Visit</t>
  </si>
  <si>
    <t>1 month Clinic Visit</t>
  </si>
  <si>
    <t>2 Month Clinic Visit</t>
  </si>
  <si>
    <t>3 Month Clinic Visit</t>
  </si>
  <si>
    <t>6 Month Clinic Visit</t>
  </si>
  <si>
    <t>Screening Failures</t>
  </si>
  <si>
    <t>Completed AL+, but not Device Run-in</t>
  </si>
  <si>
    <t>Est. No.</t>
  </si>
  <si>
    <t>Total (incl o'head)</t>
  </si>
  <si>
    <t>Completed AL+ and Device Run-in, but not randomized</t>
  </si>
  <si>
    <t>6 month phone call for non-randomized subjects</t>
  </si>
  <si>
    <t>Total Budget</t>
  </si>
  <si>
    <t>TOTAL for 20 Subjects (10 per group)</t>
  </si>
  <si>
    <t>Group A
(incl o'head)</t>
  </si>
  <si>
    <t>Group B
(incl o'head)</t>
  </si>
  <si>
    <t xml:space="preserve">TOTAL Per Subject </t>
  </si>
  <si>
    <t>Invoiced Costs (see 'CAT-HF Proposed Budget' worksheet)</t>
  </si>
  <si>
    <t>Monitoring Visit and prep (12hrs/visit)</t>
  </si>
  <si>
    <t>Prescreening (monthly flat; assumes 30hrs/month)</t>
  </si>
  <si>
    <t>Amt per SF</t>
  </si>
  <si>
    <t>Budget Proposal for Clinical Study</t>
  </si>
  <si>
    <t>Site #:  PI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</si>
</sst>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_-* #,##0.00\ [$€-407]_-;\-* #,##0.00\ [$€-407]_-;_-* &quot;-&quot;??\ [$€-407]_-;_-@_-"/>
    <numFmt numFmtId="166" formatCode="_([$$-409]* #,##0.00_);_([$$-409]* \(#,##0.00\);_([$$-409]* &quot;-&quot;??_);_(@_)"/>
  </numFmts>
  <fonts count="3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color rgb="FF006100"/>
      <name val="Calibri"/>
      <family val="2"/>
      <scheme val="minor"/>
    </font>
    <font>
      <b/>
      <vertAlign val="superscript"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CCCC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006600"/>
      </left>
      <right style="thick">
        <color rgb="FF006600"/>
      </right>
      <top style="thick">
        <color rgb="FF006600"/>
      </top>
      <bottom style="thin">
        <color indexed="64"/>
      </bottom>
      <diagonal/>
    </border>
    <border>
      <left style="thick">
        <color rgb="FF006600"/>
      </left>
      <right style="thick">
        <color rgb="FF006600"/>
      </right>
      <top style="thin">
        <color indexed="64"/>
      </top>
      <bottom style="thick">
        <color rgb="FF006600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-0.24994659260841701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 style="medium">
        <color rgb="FF006600"/>
      </left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 style="medium">
        <color rgb="FF006600"/>
      </right>
      <top/>
      <bottom style="medium">
        <color rgb="FF0066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7" fillId="0" borderId="0" applyFont="0" applyFill="0" applyBorder="0" applyAlignment="0" applyProtection="0"/>
    <xf numFmtId="0" fontId="8" fillId="5" borderId="0" applyNumberFormat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44" fontId="17" fillId="0" borderId="0" applyFont="0" applyFill="0" applyBorder="0" applyAlignment="0" applyProtection="0"/>
    <xf numFmtId="0" fontId="17" fillId="0" borderId="0"/>
    <xf numFmtId="0" fontId="7" fillId="9" borderId="0" applyNumberFormat="0" applyBorder="0" applyAlignment="0" applyProtection="0"/>
  </cellStyleXfs>
  <cellXfs count="324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12" xfId="0" applyBorder="1"/>
    <xf numFmtId="0" fontId="0" fillId="4" borderId="7" xfId="0" applyFill="1" applyBorder="1"/>
    <xf numFmtId="0" fontId="1" fillId="0" borderId="0" xfId="0" applyFont="1" applyFill="1"/>
    <xf numFmtId="165" fontId="0" fillId="0" borderId="0" xfId="0" applyNumberFormat="1" applyFill="1" applyBorder="1"/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justify" vertical="center"/>
    </xf>
    <xf numFmtId="0" fontId="3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/>
    <xf numFmtId="0" fontId="0" fillId="0" borderId="0" xfId="0" applyFont="1"/>
    <xf numFmtId="0" fontId="0" fillId="0" borderId="12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3" borderId="0" xfId="0" applyFont="1" applyFill="1" applyAlignment="1">
      <alignment vertical="center"/>
    </xf>
    <xf numFmtId="0" fontId="0" fillId="3" borderId="15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0" xfId="0" applyFont="1" applyFill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166" fontId="0" fillId="4" borderId="8" xfId="1" applyNumberFormat="1" applyFont="1" applyFill="1" applyBorder="1"/>
    <xf numFmtId="166" fontId="0" fillId="0" borderId="1" xfId="0" applyNumberFormat="1" applyFill="1" applyBorder="1"/>
    <xf numFmtId="166" fontId="0" fillId="3" borderId="1" xfId="0" applyNumberFormat="1" applyFill="1" applyBorder="1"/>
    <xf numFmtId="166" fontId="0" fillId="3" borderId="0" xfId="0" applyNumberFormat="1" applyFont="1" applyFill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6" fontId="0" fillId="3" borderId="15" xfId="0" applyNumberFormat="1" applyFont="1" applyFill="1" applyBorder="1"/>
    <xf numFmtId="166" fontId="0" fillId="0" borderId="0" xfId="1" applyNumberFormat="1" applyFont="1"/>
    <xf numFmtId="166" fontId="0" fillId="0" borderId="15" xfId="1" applyNumberFormat="1" applyFont="1" applyBorder="1"/>
    <xf numFmtId="166" fontId="0" fillId="3" borderId="0" xfId="1" applyNumberFormat="1" applyFont="1" applyFill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right" vertical="center" wrapText="1" indent="1"/>
    </xf>
    <xf numFmtId="0" fontId="0" fillId="2" borderId="21" xfId="0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0" fillId="0" borderId="0" xfId="0" applyFont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0" fillId="2" borderId="21" xfId="0" applyFill="1" applyBorder="1" applyAlignment="1">
      <alignment horizontal="right" vertical="center" wrapText="1" indent="1"/>
    </xf>
    <xf numFmtId="0" fontId="0" fillId="0" borderId="21" xfId="0" applyBorder="1" applyAlignment="1">
      <alignment vertical="center" wrapText="1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0" fillId="4" borderId="26" xfId="0" applyFill="1" applyBorder="1"/>
    <xf numFmtId="0" fontId="8" fillId="5" borderId="9" xfId="2" applyBorder="1" applyAlignment="1">
      <alignment horizontal="center"/>
    </xf>
    <xf numFmtId="0" fontId="8" fillId="5" borderId="10" xfId="2" applyBorder="1" applyAlignment="1">
      <alignment horizontal="center"/>
    </xf>
    <xf numFmtId="0" fontId="8" fillId="5" borderId="11" xfId="2" applyBorder="1" applyAlignment="1">
      <alignment horizontal="center"/>
    </xf>
    <xf numFmtId="0" fontId="3" fillId="4" borderId="22" xfId="0" applyFont="1" applyFill="1" applyBorder="1" applyAlignment="1">
      <alignment horizontal="center" wrapText="1"/>
    </xf>
    <xf numFmtId="166" fontId="8" fillId="5" borderId="23" xfId="2" applyNumberForma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6" xfId="1" applyNumberFormat="1" applyFont="1" applyFill="1" applyBorder="1"/>
    <xf numFmtId="0" fontId="0" fillId="0" borderId="13" xfId="1" applyNumberFormat="1" applyFont="1" applyBorder="1"/>
    <xf numFmtId="0" fontId="0" fillId="0" borderId="14" xfId="1" applyNumberFormat="1" applyFont="1" applyBorder="1"/>
    <xf numFmtId="0" fontId="0" fillId="0" borderId="13" xfId="1" applyNumberFormat="1" applyFont="1" applyFill="1" applyBorder="1"/>
    <xf numFmtId="0" fontId="0" fillId="0" borderId="14" xfId="1" applyNumberFormat="1" applyFont="1" applyFill="1" applyBorder="1"/>
    <xf numFmtId="0" fontId="0" fillId="0" borderId="0" xfId="0" applyFill="1"/>
    <xf numFmtId="0" fontId="14" fillId="0" borderId="9" xfId="2" applyFont="1" applyFill="1" applyBorder="1" applyAlignment="1">
      <alignment horizontal="center"/>
    </xf>
    <xf numFmtId="166" fontId="14" fillId="0" borderId="23" xfId="2" applyNumberFormat="1" applyFont="1" applyFill="1" applyBorder="1" applyAlignment="1">
      <alignment horizontal="center"/>
    </xf>
    <xf numFmtId="0" fontId="14" fillId="0" borderId="23" xfId="2" applyNumberFormat="1" applyFont="1" applyFill="1" applyBorder="1" applyAlignment="1">
      <alignment horizontal="center"/>
    </xf>
    <xf numFmtId="0" fontId="14" fillId="0" borderId="10" xfId="2" applyNumberFormat="1" applyFont="1" applyFill="1" applyBorder="1" applyAlignment="1">
      <alignment horizontal="center"/>
    </xf>
    <xf numFmtId="0" fontId="14" fillId="0" borderId="11" xfId="2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5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14" fillId="0" borderId="10" xfId="2" applyNumberFormat="1" applyFont="1" applyFill="1" applyBorder="1" applyAlignment="1">
      <alignment horizontal="right"/>
    </xf>
    <xf numFmtId="166" fontId="0" fillId="0" borderId="0" xfId="0" applyNumberFormat="1" applyFill="1"/>
    <xf numFmtId="166" fontId="0" fillId="0" borderId="0" xfId="0" applyNumberFormat="1"/>
    <xf numFmtId="0" fontId="0" fillId="0" borderId="12" xfId="0" applyBorder="1" applyAlignment="1">
      <alignment wrapText="1"/>
    </xf>
    <xf numFmtId="0" fontId="0" fillId="0" borderId="28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9" fillId="0" borderId="0" xfId="0" applyFont="1" applyAlignment="1" applyProtection="1">
      <alignment horizontal="justify"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22" xfId="0" applyFont="1" applyFill="1" applyBorder="1" applyAlignment="1" applyProtection="1">
      <alignment horizontal="center" wrapText="1"/>
      <protection locked="0"/>
    </xf>
    <xf numFmtId="0" fontId="3" fillId="4" borderId="3" xfId="0" applyFont="1" applyFill="1" applyBorder="1" applyAlignment="1" applyProtection="1">
      <alignment horizontal="center" wrapText="1"/>
      <protection locked="0"/>
    </xf>
    <xf numFmtId="0" fontId="3" fillId="4" borderId="31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8" fillId="5" borderId="9" xfId="2" applyFont="1" applyBorder="1" applyAlignment="1" applyProtection="1">
      <alignment horizontal="right"/>
      <protection locked="0"/>
    </xf>
    <xf numFmtId="166" fontId="18" fillId="5" borderId="23" xfId="2" applyNumberFormat="1" applyFont="1" applyBorder="1" applyAlignment="1" applyProtection="1">
      <alignment horizontal="center"/>
      <protection locked="0"/>
    </xf>
    <xf numFmtId="0" fontId="18" fillId="5" borderId="10" xfId="2" applyFont="1" applyBorder="1" applyAlignment="1" applyProtection="1">
      <alignment horizontal="center"/>
      <protection locked="0"/>
    </xf>
    <xf numFmtId="0" fontId="18" fillId="5" borderId="11" xfId="2" applyFont="1" applyBorder="1" applyAlignment="1" applyProtection="1">
      <alignment horizontal="center"/>
      <protection locked="0"/>
    </xf>
    <xf numFmtId="0" fontId="18" fillId="5" borderId="30" xfId="2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6" fontId="14" fillId="6" borderId="23" xfId="2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" fontId="0" fillId="0" borderId="0" xfId="0" applyNumberFormat="1" applyFill="1" applyProtection="1">
      <protection locked="0"/>
    </xf>
    <xf numFmtId="0" fontId="0" fillId="0" borderId="13" xfId="1" applyNumberFormat="1" applyFont="1" applyBorder="1" applyProtection="1">
      <protection locked="0"/>
    </xf>
    <xf numFmtId="0" fontId="0" fillId="0" borderId="2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28" xfId="1" applyNumberFormat="1" applyFont="1" applyFill="1" applyBorder="1" applyProtection="1">
      <protection locked="0"/>
    </xf>
    <xf numFmtId="166" fontId="0" fillId="0" borderId="25" xfId="0" applyNumberFormat="1" applyFont="1" applyFill="1" applyBorder="1" applyAlignment="1" applyProtection="1">
      <alignment horizontal="center" wrapText="1"/>
      <protection locked="0"/>
    </xf>
    <xf numFmtId="166" fontId="0" fillId="0" borderId="29" xfId="0" applyNumberFormat="1" applyFill="1" applyBorder="1" applyProtection="1">
      <protection locked="0"/>
    </xf>
    <xf numFmtId="1" fontId="3" fillId="0" borderId="0" xfId="0" applyNumberFormat="1" applyFont="1" applyProtection="1">
      <protection locked="0"/>
    </xf>
    <xf numFmtId="0" fontId="0" fillId="4" borderId="1" xfId="0" applyFill="1" applyBorder="1" applyProtection="1">
      <protection locked="0"/>
    </xf>
    <xf numFmtId="166" fontId="0" fillId="4" borderId="1" xfId="1" applyNumberFormat="1" applyFont="1" applyFill="1" applyBorder="1" applyProtection="1">
      <protection locked="0"/>
    </xf>
    <xf numFmtId="166" fontId="0" fillId="4" borderId="29" xfId="1" applyNumberFormat="1" applyFont="1" applyFill="1" applyBorder="1" applyProtection="1">
      <protection locked="0"/>
    </xf>
    <xf numFmtId="166" fontId="18" fillId="5" borderId="1" xfId="2" applyNumberFormat="1" applyFont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 applyProtection="1">
      <protection locked="0"/>
    </xf>
    <xf numFmtId="166" fontId="0" fillId="6" borderId="1" xfId="1" applyNumberFormat="1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66" fontId="0" fillId="6" borderId="1" xfId="0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66" fontId="0" fillId="0" borderId="0" xfId="0" applyNumberFormat="1" applyFill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Font="1" applyProtection="1"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166" fontId="0" fillId="0" borderId="0" xfId="1" applyNumberFormat="1" applyFont="1" applyFill="1" applyBorder="1" applyProtection="1"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66" fontId="0" fillId="0" borderId="0" xfId="0" applyNumberFormat="1" applyFont="1" applyProtection="1">
      <protection locked="0"/>
    </xf>
    <xf numFmtId="166" fontId="7" fillId="0" borderId="0" xfId="1" applyNumberFormat="1" applyFont="1" applyFill="1" applyBorder="1" applyProtection="1">
      <protection locked="0"/>
    </xf>
    <xf numFmtId="166" fontId="7" fillId="0" borderId="0" xfId="0" applyNumberFormat="1" applyFont="1" applyProtection="1">
      <protection locked="0"/>
    </xf>
    <xf numFmtId="166" fontId="1" fillId="0" borderId="0" xfId="0" applyNumberFormat="1" applyFont="1" applyProtection="1">
      <protection locked="0"/>
    </xf>
    <xf numFmtId="1" fontId="3" fillId="0" borderId="1" xfId="0" applyNumberFormat="1" applyFont="1" applyBorder="1" applyAlignment="1" applyProtection="1">
      <alignment horizontal="center"/>
    </xf>
    <xf numFmtId="1" fontId="21" fillId="0" borderId="1" xfId="0" applyNumberFormat="1" applyFont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wrapText="1"/>
      <protection locked="0"/>
    </xf>
    <xf numFmtId="0" fontId="3" fillId="7" borderId="13" xfId="0" applyFont="1" applyFill="1" applyBorder="1" applyAlignment="1" applyProtection="1">
      <alignment horizontal="center" wrapText="1"/>
      <protection locked="0"/>
    </xf>
    <xf numFmtId="0" fontId="14" fillId="0" borderId="10" xfId="2" applyNumberFormat="1" applyFont="1" applyFill="1" applyBorder="1" applyAlignment="1" applyProtection="1">
      <alignment horizontal="center"/>
    </xf>
    <xf numFmtId="0" fontId="14" fillId="0" borderId="30" xfId="2" applyNumberFormat="1" applyFont="1" applyFill="1" applyBorder="1" applyAlignment="1" applyProtection="1">
      <alignment horizontal="center"/>
    </xf>
    <xf numFmtId="1" fontId="0" fillId="0" borderId="1" xfId="1" applyNumberFormat="1" applyFont="1" applyBorder="1" applyProtection="1"/>
    <xf numFmtId="0" fontId="0" fillId="0" borderId="1" xfId="1" applyNumberFormat="1" applyFont="1" applyBorder="1" applyProtection="1"/>
    <xf numFmtId="0" fontId="0" fillId="0" borderId="1" xfId="1" applyNumberFormat="1" applyFont="1" applyFill="1" applyBorder="1" applyProtection="1"/>
    <xf numFmtId="0" fontId="0" fillId="0" borderId="29" xfId="1" applyNumberFormat="1" applyFont="1" applyFill="1" applyBorder="1" applyProtection="1"/>
    <xf numFmtId="0" fontId="0" fillId="0" borderId="33" xfId="1" applyNumberFormat="1" applyFont="1" applyBorder="1" applyProtection="1"/>
    <xf numFmtId="0" fontId="0" fillId="0" borderId="33" xfId="1" applyNumberFormat="1" applyFont="1" applyFill="1" applyBorder="1" applyProtection="1"/>
    <xf numFmtId="0" fontId="0" fillId="0" borderId="34" xfId="1" applyNumberFormat="1" applyFont="1" applyFill="1" applyBorder="1" applyProtection="1"/>
    <xf numFmtId="0" fontId="0" fillId="0" borderId="10" xfId="1" applyNumberFormat="1" applyFont="1" applyBorder="1" applyProtection="1"/>
    <xf numFmtId="0" fontId="0" fillId="0" borderId="13" xfId="1" applyNumberFormat="1" applyFont="1" applyBorder="1" applyProtection="1"/>
    <xf numFmtId="0" fontId="0" fillId="0" borderId="28" xfId="1" applyNumberFormat="1" applyFont="1" applyBorder="1" applyProtection="1"/>
    <xf numFmtId="0" fontId="0" fillId="0" borderId="13" xfId="1" applyNumberFormat="1" applyFont="1" applyFill="1" applyBorder="1" applyProtection="1"/>
    <xf numFmtId="0" fontId="0" fillId="0" borderId="28" xfId="1" applyNumberFormat="1" applyFont="1" applyFill="1" applyBorder="1" applyProtection="1"/>
    <xf numFmtId="0" fontId="22" fillId="5" borderId="9" xfId="2" applyFont="1" applyBorder="1" applyAlignment="1" applyProtection="1">
      <alignment horizontal="center"/>
      <protection locked="0"/>
    </xf>
    <xf numFmtId="166" fontId="0" fillId="6" borderId="1" xfId="0" applyNumberFormat="1" applyFill="1" applyBorder="1" applyProtection="1"/>
    <xf numFmtId="166" fontId="0" fillId="6" borderId="10" xfId="0" applyNumberFormat="1" applyFill="1" applyBorder="1" applyProtection="1"/>
    <xf numFmtId="166" fontId="0" fillId="6" borderId="33" xfId="0" applyNumberFormat="1" applyFill="1" applyBorder="1" applyProtection="1"/>
    <xf numFmtId="166" fontId="14" fillId="6" borderId="23" xfId="2" applyNumberFormat="1" applyFont="1" applyFill="1" applyBorder="1" applyAlignment="1" applyProtection="1">
      <alignment horizontal="center"/>
    </xf>
    <xf numFmtId="166" fontId="14" fillId="6" borderId="32" xfId="2" applyNumberFormat="1" applyFont="1" applyFill="1" applyBorder="1" applyAlignment="1" applyProtection="1">
      <alignment horizontal="center"/>
    </xf>
    <xf numFmtId="166" fontId="0" fillId="0" borderId="1" xfId="1" applyNumberFormat="1" applyFont="1" applyFill="1" applyBorder="1" applyProtection="1"/>
    <xf numFmtId="166" fontId="0" fillId="0" borderId="1" xfId="0" applyNumberFormat="1" applyFont="1" applyFill="1" applyBorder="1" applyProtection="1"/>
    <xf numFmtId="0" fontId="0" fillId="0" borderId="1" xfId="0" applyNumberFormat="1" applyFont="1" applyFill="1" applyBorder="1" applyProtection="1"/>
    <xf numFmtId="0" fontId="0" fillId="0" borderId="1" xfId="0" applyFont="1" applyFill="1" applyBorder="1" applyAlignment="1" applyProtection="1">
      <alignment vertical="center"/>
    </xf>
    <xf numFmtId="166" fontId="0" fillId="6" borderId="1" xfId="0" applyNumberForma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center" wrapText="1"/>
      <protection locked="0"/>
    </xf>
    <xf numFmtId="0" fontId="18" fillId="5" borderId="36" xfId="2" applyFont="1" applyBorder="1" applyAlignment="1" applyProtection="1">
      <alignment horizontal="center"/>
      <protection locked="0"/>
    </xf>
    <xf numFmtId="166" fontId="0" fillId="6" borderId="6" xfId="0" applyNumberFormat="1" applyFill="1" applyBorder="1" applyProtection="1"/>
    <xf numFmtId="166" fontId="0" fillId="6" borderId="8" xfId="0" applyNumberFormat="1" applyFill="1" applyBorder="1" applyProtection="1"/>
    <xf numFmtId="166" fontId="0" fillId="6" borderId="11" xfId="0" applyNumberFormat="1" applyFill="1" applyBorder="1" applyProtection="1"/>
    <xf numFmtId="166" fontId="0" fillId="0" borderId="6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66" fontId="0" fillId="4" borderId="6" xfId="1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33" xfId="0" applyFont="1" applyFill="1" applyBorder="1" applyAlignment="1" applyProtection="1">
      <alignment vertical="center"/>
      <protection locked="0"/>
    </xf>
    <xf numFmtId="166" fontId="0" fillId="6" borderId="33" xfId="0" applyNumberFormat="1" applyFont="1" applyFill="1" applyBorder="1" applyProtection="1">
      <protection locked="0"/>
    </xf>
    <xf numFmtId="0" fontId="0" fillId="0" borderId="33" xfId="0" applyFont="1" applyFill="1" applyBorder="1" applyAlignment="1" applyProtection="1">
      <alignment vertical="center"/>
    </xf>
    <xf numFmtId="166" fontId="23" fillId="0" borderId="0" xfId="0" applyNumberFormat="1" applyFont="1" applyFill="1" applyBorder="1" applyProtection="1">
      <protection locked="0"/>
    </xf>
    <xf numFmtId="0" fontId="23" fillId="0" borderId="0" xfId="0" applyFont="1" applyProtection="1">
      <protection locked="0"/>
    </xf>
    <xf numFmtId="166" fontId="23" fillId="0" borderId="1" xfId="0" applyNumberFormat="1" applyFont="1" applyBorder="1" applyProtection="1"/>
    <xf numFmtId="0" fontId="20" fillId="3" borderId="37" xfId="0" applyFont="1" applyFill="1" applyBorder="1" applyAlignment="1" applyProtection="1">
      <alignment horizontal="center" wrapText="1"/>
      <protection locked="0"/>
    </xf>
    <xf numFmtId="9" fontId="20" fillId="9" borderId="35" xfId="7" applyNumberFormat="1" applyFont="1" applyBorder="1" applyAlignment="1" applyProtection="1">
      <alignment horizontal="center"/>
      <protection locked="0"/>
    </xf>
    <xf numFmtId="0" fontId="21" fillId="9" borderId="35" xfId="7" applyNumberFormat="1" applyFont="1" applyBorder="1" applyAlignment="1" applyProtection="1">
      <alignment horizontal="center" vertical="center"/>
      <protection locked="0"/>
    </xf>
    <xf numFmtId="0" fontId="14" fillId="0" borderId="50" xfId="2" applyFont="1" applyFill="1" applyBorder="1" applyAlignment="1" applyProtection="1">
      <alignment horizontal="left"/>
      <protection locked="0"/>
    </xf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0" xfId="0" applyBorder="1" applyAlignment="1" applyProtection="1">
      <alignment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53" xfId="0" applyBorder="1" applyProtection="1">
      <protection locked="0"/>
    </xf>
    <xf numFmtId="0" fontId="0" fillId="0" borderId="53" xfId="0" applyFont="1" applyFill="1" applyBorder="1" applyAlignment="1" applyProtection="1">
      <alignment wrapText="1"/>
      <protection locked="0"/>
    </xf>
    <xf numFmtId="166" fontId="18" fillId="5" borderId="54" xfId="2" applyNumberFormat="1" applyFont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right" wrapText="1"/>
      <protection locked="0"/>
    </xf>
    <xf numFmtId="0" fontId="24" fillId="0" borderId="54" xfId="0" applyFont="1" applyFill="1" applyBorder="1" applyAlignment="1" applyProtection="1">
      <alignment horizontal="center" wrapText="1"/>
    </xf>
    <xf numFmtId="0" fontId="27" fillId="0" borderId="0" xfId="0" applyFont="1" applyAlignment="1" applyProtection="1">
      <alignment horizontal="right"/>
      <protection locked="0"/>
    </xf>
    <xf numFmtId="166" fontId="28" fillId="0" borderId="1" xfId="0" applyNumberFormat="1" applyFont="1" applyBorder="1" applyProtection="1"/>
    <xf numFmtId="166" fontId="27" fillId="0" borderId="38" xfId="0" applyNumberFormat="1" applyFont="1" applyFill="1" applyBorder="1" applyProtection="1"/>
    <xf numFmtId="0" fontId="3" fillId="0" borderId="0" xfId="0" applyFont="1" applyAlignment="1" applyProtection="1">
      <alignment horizontal="left"/>
    </xf>
    <xf numFmtId="166" fontId="0" fillId="0" borderId="0" xfId="1" applyNumberFormat="1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39" xfId="0" applyBorder="1" applyAlignment="1" applyProtection="1">
      <alignment horizontal="right"/>
    </xf>
    <xf numFmtId="166" fontId="3" fillId="0" borderId="40" xfId="1" applyNumberFormat="1" applyFont="1" applyBorder="1" applyAlignment="1" applyProtection="1">
      <alignment horizontal="center" wrapText="1"/>
    </xf>
    <xf numFmtId="0" fontId="3" fillId="0" borderId="40" xfId="0" applyFont="1" applyBorder="1" applyAlignment="1" applyProtection="1">
      <alignment horizontal="center"/>
    </xf>
    <xf numFmtId="0" fontId="3" fillId="0" borderId="40" xfId="0" applyFont="1" applyBorder="1" applyProtection="1"/>
    <xf numFmtId="0" fontId="3" fillId="0" borderId="41" xfId="0" applyFont="1" applyBorder="1" applyAlignment="1" applyProtection="1">
      <alignment horizontal="center" wrapText="1"/>
    </xf>
    <xf numFmtId="0" fontId="24" fillId="8" borderId="42" xfId="0" applyFont="1" applyFill="1" applyBorder="1" applyAlignment="1" applyProtection="1">
      <alignment horizontal="right"/>
    </xf>
    <xf numFmtId="166" fontId="0" fillId="8" borderId="43" xfId="1" applyNumberFormat="1" applyFont="1" applyFill="1" applyBorder="1" applyProtection="1"/>
    <xf numFmtId="0" fontId="0" fillId="8" borderId="43" xfId="0" applyFill="1" applyBorder="1" applyAlignment="1" applyProtection="1">
      <alignment horizontal="center"/>
    </xf>
    <xf numFmtId="0" fontId="0" fillId="8" borderId="43" xfId="0" applyFill="1" applyBorder="1" applyProtection="1"/>
    <xf numFmtId="9" fontId="0" fillId="8" borderId="43" xfId="0" applyNumberFormat="1" applyFill="1" applyBorder="1" applyAlignment="1" applyProtection="1">
      <alignment horizontal="center"/>
    </xf>
    <xf numFmtId="0" fontId="0" fillId="8" borderId="44" xfId="0" applyFill="1" applyBorder="1" applyProtection="1"/>
    <xf numFmtId="0" fontId="14" fillId="0" borderId="42" xfId="2" applyFont="1" applyFill="1" applyBorder="1" applyAlignment="1" applyProtection="1">
      <alignment horizontal="right"/>
    </xf>
    <xf numFmtId="166" fontId="0" fillId="0" borderId="43" xfId="1" applyNumberFormat="1" applyFont="1" applyBorder="1" applyProtection="1"/>
    <xf numFmtId="1" fontId="0" fillId="0" borderId="43" xfId="0" applyNumberFormat="1" applyBorder="1" applyAlignment="1" applyProtection="1">
      <alignment horizontal="center"/>
    </xf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2" xfId="0" applyBorder="1" applyAlignment="1" applyProtection="1">
      <alignment horizontal="right"/>
    </xf>
    <xf numFmtId="166" fontId="0" fillId="8" borderId="43" xfId="0" applyNumberFormat="1" applyFill="1" applyBorder="1" applyProtection="1"/>
    <xf numFmtId="166" fontId="0" fillId="8" borderId="44" xfId="0" applyNumberFormat="1" applyFill="1" applyBorder="1" applyProtection="1"/>
    <xf numFmtId="0" fontId="0" fillId="0" borderId="43" xfId="0" applyBorder="1" applyAlignment="1" applyProtection="1">
      <alignment horizontal="center"/>
    </xf>
    <xf numFmtId="0" fontId="0" fillId="0" borderId="45" xfId="0" applyBorder="1" applyAlignment="1" applyProtection="1">
      <alignment horizontal="right"/>
    </xf>
    <xf numFmtId="166" fontId="0" fillId="0" borderId="46" xfId="1" applyNumberFormat="1" applyFont="1" applyBorder="1" applyProtection="1"/>
    <xf numFmtId="0" fontId="0" fillId="0" borderId="46" xfId="0" applyBorder="1" applyAlignment="1" applyProtection="1">
      <alignment horizontal="center"/>
    </xf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0" fillId="0" borderId="0" xfId="0" applyAlignment="1" applyProtection="1">
      <alignment horizontal="right"/>
    </xf>
    <xf numFmtId="166" fontId="0" fillId="0" borderId="0" xfId="0" applyNumberFormat="1" applyProtection="1"/>
    <xf numFmtId="166" fontId="25" fillId="0" borderId="48" xfId="0" applyNumberFormat="1" applyFont="1" applyBorder="1" applyProtection="1"/>
    <xf numFmtId="0" fontId="3" fillId="0" borderId="49" xfId="0" applyFont="1" applyBorder="1" applyAlignment="1" applyProtection="1">
      <alignment horizontal="center" wrapText="1"/>
    </xf>
    <xf numFmtId="9" fontId="0" fillId="0" borderId="0" xfId="3" applyFont="1" applyProtection="1"/>
    <xf numFmtId="0" fontId="7" fillId="10" borderId="1" xfId="7" applyNumberFormat="1" applyFont="1" applyFill="1" applyBorder="1" applyAlignment="1" applyProtection="1">
      <alignment horizontal="center" vertical="center"/>
      <protection locked="0"/>
    </xf>
    <xf numFmtId="0" fontId="7" fillId="10" borderId="33" xfId="7" applyNumberFormat="1" applyFont="1" applyFill="1" applyBorder="1" applyAlignment="1" applyProtection="1">
      <alignment horizontal="center" vertical="center"/>
      <protection locked="0"/>
    </xf>
    <xf numFmtId="0" fontId="7" fillId="10" borderId="10" xfId="7" applyNumberFormat="1" applyFont="1" applyFill="1" applyBorder="1" applyAlignment="1" applyProtection="1">
      <alignment horizontal="center" vertical="center"/>
      <protection locked="0"/>
    </xf>
    <xf numFmtId="166" fontId="18" fillId="10" borderId="1" xfId="2" applyNumberFormat="1" applyFont="1" applyFill="1" applyBorder="1" applyAlignment="1" applyProtection="1">
      <alignment horizontal="center"/>
      <protection locked="0"/>
    </xf>
    <xf numFmtId="166" fontId="18" fillId="10" borderId="24" xfId="2" applyNumberFormat="1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166" fontId="0" fillId="6" borderId="13" xfId="0" applyNumberFormat="1" applyFont="1" applyFill="1" applyBorder="1" applyProtection="1">
      <protection locked="0"/>
    </xf>
    <xf numFmtId="0" fontId="0" fillId="0" borderId="13" xfId="0" applyFont="1" applyFill="1" applyBorder="1" applyAlignment="1" applyProtection="1">
      <alignment vertical="center"/>
    </xf>
    <xf numFmtId="0" fontId="23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8" fillId="5" borderId="0" xfId="2" applyFont="1" applyBorder="1" applyAlignment="1" applyProtection="1">
      <alignment horizontal="center"/>
      <protection locked="0"/>
    </xf>
    <xf numFmtId="166" fontId="0" fillId="0" borderId="10" xfId="1" applyNumberFormat="1" applyFont="1" applyBorder="1" applyProtection="1"/>
    <xf numFmtId="166" fontId="0" fillId="0" borderId="1" xfId="1" applyNumberFormat="1" applyFont="1" applyBorder="1" applyProtection="1"/>
    <xf numFmtId="166" fontId="0" fillId="0" borderId="33" xfId="1" applyNumberFormat="1" applyFont="1" applyBorder="1" applyProtection="1"/>
    <xf numFmtId="1" fontId="18" fillId="5" borderId="0" xfId="2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0" fillId="6" borderId="10" xfId="0" applyNumberFormat="1" applyFill="1" applyBorder="1" applyAlignment="1" applyProtection="1">
      <alignment horizontal="center"/>
    </xf>
    <xf numFmtId="1" fontId="0" fillId="6" borderId="1" xfId="0" applyNumberFormat="1" applyFill="1" applyBorder="1" applyAlignment="1" applyProtection="1">
      <alignment horizontal="center"/>
    </xf>
    <xf numFmtId="1" fontId="0" fillId="6" borderId="33" xfId="0" applyNumberFormat="1" applyFill="1" applyBorder="1" applyAlignment="1" applyProtection="1">
      <alignment horizontal="center"/>
    </xf>
    <xf numFmtId="1" fontId="0" fillId="0" borderId="29" xfId="0" applyNumberFormat="1" applyFill="1" applyBorder="1" applyAlignment="1" applyProtection="1">
      <alignment horizontal="center"/>
      <protection locked="0"/>
    </xf>
    <xf numFmtId="1" fontId="0" fillId="4" borderId="29" xfId="1" applyNumberFormat="1" applyFont="1" applyFill="1" applyBorder="1" applyAlignment="1" applyProtection="1">
      <alignment horizontal="center"/>
      <protection locked="0"/>
    </xf>
    <xf numFmtId="1" fontId="23" fillId="0" borderId="1" xfId="0" applyNumberFormat="1" applyFon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  <protection locked="0"/>
    </xf>
    <xf numFmtId="166" fontId="3" fillId="4" borderId="1" xfId="1" applyNumberFormat="1" applyFont="1" applyFill="1" applyBorder="1" applyAlignment="1" applyProtection="1">
      <alignment horizontal="center" wrapText="1"/>
      <protection locked="0"/>
    </xf>
    <xf numFmtId="0" fontId="0" fillId="10" borderId="1" xfId="7" applyNumberFormat="1" applyFont="1" applyFill="1" applyBorder="1" applyAlignment="1" applyProtection="1">
      <alignment horizontal="center" vertical="center"/>
      <protection locked="0"/>
    </xf>
    <xf numFmtId="9" fontId="18" fillId="5" borderId="54" xfId="3" applyFont="1" applyFill="1" applyBorder="1" applyAlignment="1" applyProtection="1">
      <alignment horizontal="center"/>
      <protection locked="0"/>
    </xf>
    <xf numFmtId="9" fontId="20" fillId="9" borderId="55" xfId="7" applyNumberFormat="1" applyFont="1" applyBorder="1" applyAlignment="1" applyProtection="1">
      <alignment horizontal="center"/>
      <protection locked="0"/>
    </xf>
    <xf numFmtId="166" fontId="0" fillId="6" borderId="1" xfId="0" applyNumberFormat="1" applyFill="1" applyBorder="1" applyAlignment="1" applyProtection="1">
      <alignment wrapText="1"/>
    </xf>
    <xf numFmtId="0" fontId="3" fillId="11" borderId="0" xfId="0" applyFont="1" applyFill="1"/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0" fillId="0" borderId="1" xfId="0" applyBorder="1"/>
    <xf numFmtId="0" fontId="3" fillId="11" borderId="10" xfId="0" applyFont="1" applyFill="1" applyBorder="1" applyAlignment="1">
      <alignment horizontal="center"/>
    </xf>
    <xf numFmtId="0" fontId="3" fillId="0" borderId="1" xfId="0" applyFont="1" applyBorder="1"/>
    <xf numFmtId="166" fontId="3" fillId="0" borderId="1" xfId="0" applyNumberFormat="1" applyFont="1" applyBorder="1"/>
    <xf numFmtId="0" fontId="3" fillId="0" borderId="10" xfId="0" applyFont="1" applyBorder="1"/>
    <xf numFmtId="166" fontId="3" fillId="0" borderId="10" xfId="0" applyNumberFormat="1" applyFont="1" applyBorder="1"/>
    <xf numFmtId="0" fontId="0" fillId="0" borderId="33" xfId="0" applyBorder="1"/>
    <xf numFmtId="166" fontId="0" fillId="0" borderId="33" xfId="0" applyNumberFormat="1" applyBorder="1"/>
    <xf numFmtId="166" fontId="0" fillId="0" borderId="1" xfId="1" applyNumberFormat="1" applyFont="1" applyBorder="1"/>
    <xf numFmtId="0" fontId="0" fillId="11" borderId="10" xfId="0" applyFill="1" applyBorder="1"/>
    <xf numFmtId="0" fontId="0" fillId="11" borderId="10" xfId="0" applyFill="1" applyBorder="1" applyAlignment="1">
      <alignment horizontal="center"/>
    </xf>
    <xf numFmtId="166" fontId="3" fillId="0" borderId="0" xfId="0" applyNumberFormat="1" applyFont="1"/>
    <xf numFmtId="166" fontId="0" fillId="0" borderId="0" xfId="0" applyNumberFormat="1" applyBorder="1"/>
    <xf numFmtId="0" fontId="0" fillId="0" borderId="0" xfId="0" applyBorder="1"/>
    <xf numFmtId="166" fontId="3" fillId="0" borderId="0" xfId="0" applyNumberFormat="1" applyFont="1" applyBorder="1"/>
    <xf numFmtId="0" fontId="3" fillId="11" borderId="10" xfId="0" applyFont="1" applyFill="1" applyBorder="1" applyAlignment="1">
      <alignment horizontal="center" wrapText="1"/>
    </xf>
    <xf numFmtId="166" fontId="18" fillId="5" borderId="1" xfId="2" applyNumberFormat="1" applyFont="1" applyBorder="1" applyAlignment="1" applyProtection="1"/>
    <xf numFmtId="0" fontId="20" fillId="6" borderId="56" xfId="0" applyFont="1" applyFill="1" applyBorder="1"/>
    <xf numFmtId="0" fontId="0" fillId="6" borderId="57" xfId="0" applyFill="1" applyBorder="1"/>
    <xf numFmtId="166" fontId="20" fillId="6" borderId="58" xfId="0" applyNumberFormat="1" applyFont="1" applyFill="1" applyBorder="1"/>
    <xf numFmtId="1" fontId="0" fillId="6" borderId="1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/>
    <xf numFmtId="0" fontId="0" fillId="3" borderId="0" xfId="0" applyFont="1" applyFill="1" applyAlignment="1"/>
    <xf numFmtId="0" fontId="0" fillId="0" borderId="0" xfId="0" applyAlignment="1"/>
    <xf numFmtId="0" fontId="3" fillId="4" borderId="31" xfId="0" applyFont="1" applyFill="1" applyBorder="1" applyAlignment="1" applyProtection="1">
      <alignment horizontal="center" wrapText="1"/>
      <protection locked="0"/>
    </xf>
    <xf numFmtId="0" fontId="3" fillId="4" borderId="22" xfId="0" applyFont="1" applyFill="1" applyBorder="1" applyAlignment="1" applyProtection="1">
      <alignment horizontal="center" wrapText="1"/>
      <protection locked="0"/>
    </xf>
    <xf numFmtId="1" fontId="18" fillId="5" borderId="13" xfId="2" applyNumberFormat="1" applyFont="1" applyBorder="1" applyAlignment="1" applyProtection="1">
      <alignment horizontal="center" wrapText="1"/>
      <protection locked="0"/>
    </xf>
    <xf numFmtId="1" fontId="18" fillId="5" borderId="10" xfId="2" applyNumberFormat="1" applyFont="1" applyBorder="1" applyAlignment="1" applyProtection="1">
      <alignment horizontal="center" wrapText="1"/>
      <protection locked="0"/>
    </xf>
    <xf numFmtId="0" fontId="18" fillId="5" borderId="1" xfId="2" applyFont="1" applyBorder="1" applyAlignment="1" applyProtection="1">
      <alignment horizontal="center"/>
      <protection locked="0"/>
    </xf>
    <xf numFmtId="0" fontId="18" fillId="5" borderId="13" xfId="2" applyFont="1" applyBorder="1" applyAlignment="1" applyProtection="1">
      <alignment horizontal="center"/>
      <protection locked="0"/>
    </xf>
    <xf numFmtId="0" fontId="18" fillId="5" borderId="10" xfId="2" applyFont="1" applyBorder="1" applyAlignment="1" applyProtection="1">
      <alignment horizontal="center"/>
      <protection locked="0"/>
    </xf>
    <xf numFmtId="0" fontId="3" fillId="11" borderId="56" xfId="0" applyFont="1" applyFill="1" applyBorder="1" applyAlignment="1">
      <alignment horizontal="center"/>
    </xf>
    <xf numFmtId="0" fontId="3" fillId="11" borderId="57" xfId="0" applyFont="1" applyFill="1" applyBorder="1" applyAlignment="1">
      <alignment horizontal="center"/>
    </xf>
    <xf numFmtId="0" fontId="3" fillId="11" borderId="58" xfId="0" applyFont="1" applyFill="1" applyBorder="1" applyAlignment="1">
      <alignment horizontal="center"/>
    </xf>
    <xf numFmtId="0" fontId="3" fillId="11" borderId="56" xfId="0" applyFont="1" applyFill="1" applyBorder="1" applyAlignment="1">
      <alignment horizontal="left" wrapText="1"/>
    </xf>
    <xf numFmtId="0" fontId="3" fillId="11" borderId="57" xfId="0" applyFont="1" applyFill="1" applyBorder="1" applyAlignment="1">
      <alignment horizontal="left" wrapText="1"/>
    </xf>
    <xf numFmtId="0" fontId="3" fillId="11" borderId="58" xfId="0" applyFont="1" applyFill="1" applyBorder="1" applyAlignment="1">
      <alignment horizontal="left" wrapText="1"/>
    </xf>
  </cellXfs>
  <cellStyles count="8">
    <cellStyle name="40% - Accent2" xfId="7" builtinId="35"/>
    <cellStyle name="Currency" xfId="1" builtinId="4"/>
    <cellStyle name="Currency 2" xfId="5"/>
    <cellStyle name="Good" xfId="2" builtinId="26"/>
    <cellStyle name="Normal" xfId="0" builtinId="0"/>
    <cellStyle name="Normal 2" xfId="4"/>
    <cellStyle name="Normal 3" xfId="6"/>
    <cellStyle name="Percent" xfId="3" builtinId="5"/>
  </cellStyles>
  <dxfs count="0"/>
  <tableStyles count="0" defaultTableStyle="TableStyleMedium2" defaultPivotStyle="PivotStyleLight16"/>
  <colors>
    <mruColors>
      <color rgb="FFFFFFCC"/>
      <color rgb="FFFFCCCC"/>
      <color rgb="FF006600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9"/>
  <sheetViews>
    <sheetView topLeftCell="A57" zoomScaleNormal="100" zoomScalePageLayoutView="110" workbookViewId="0">
      <pane xSplit="1" topLeftCell="B1" activePane="topRight" state="frozen"/>
      <selection activeCell="A41" sqref="A41"/>
      <selection pane="topRight" activeCell="C59" sqref="C59"/>
    </sheetView>
  </sheetViews>
  <sheetFormatPr defaultColWidth="11.42578125" defaultRowHeight="11.25" x14ac:dyDescent="0.2"/>
  <cols>
    <col min="1" max="1" width="30" style="2" customWidth="1"/>
    <col min="2" max="5" width="11.5703125" style="2" customWidth="1"/>
    <col min="6" max="6" width="12.28515625" style="2" bestFit="1" customWidth="1"/>
    <col min="7" max="7" width="14.28515625" style="3" bestFit="1" customWidth="1"/>
    <col min="8" max="8" width="11.42578125" style="2"/>
    <col min="9" max="9" width="12.140625" style="2" bestFit="1" customWidth="1"/>
    <col min="10" max="10" width="11.140625" style="2" customWidth="1"/>
    <col min="11" max="12" width="11.42578125" style="2"/>
    <col min="13" max="13" width="11.140625" style="2" bestFit="1" customWidth="1"/>
    <col min="14" max="14" width="11.42578125" style="2"/>
    <col min="15" max="15" width="14.28515625" style="2" customWidth="1"/>
    <col min="16" max="16" width="11.42578125" style="2"/>
    <col min="17" max="17" width="12" style="2" bestFit="1" customWidth="1"/>
    <col min="18" max="16384" width="11.42578125" style="2"/>
  </cols>
  <sheetData>
    <row r="1" spans="1:14" ht="10.9" thickBot="1" x14ac:dyDescent="0.25"/>
    <row r="2" spans="1:14" ht="17.25" x14ac:dyDescent="0.2">
      <c r="A2" s="304"/>
      <c r="B2" s="42"/>
      <c r="C2" s="42"/>
      <c r="D2" s="72"/>
      <c r="E2" s="53"/>
      <c r="F2" s="304" t="s">
        <v>33</v>
      </c>
      <c r="G2" s="43" t="s">
        <v>1</v>
      </c>
      <c r="H2" s="304" t="s">
        <v>35</v>
      </c>
      <c r="I2" s="43" t="s">
        <v>36</v>
      </c>
      <c r="J2" s="43" t="s">
        <v>38</v>
      </c>
      <c r="K2" s="43" t="s">
        <v>40</v>
      </c>
      <c r="L2" s="43" t="s">
        <v>41</v>
      </c>
      <c r="M2" s="43" t="s">
        <v>42</v>
      </c>
      <c r="N2" s="43" t="s">
        <v>43</v>
      </c>
    </row>
    <row r="3" spans="1:14" ht="30" x14ac:dyDescent="0.2">
      <c r="A3" s="305"/>
      <c r="B3" s="56"/>
      <c r="C3" s="56"/>
      <c r="D3" s="73"/>
      <c r="E3" s="56"/>
      <c r="F3" s="305"/>
      <c r="G3" s="44" t="s">
        <v>34</v>
      </c>
      <c r="H3" s="305"/>
      <c r="I3" s="44" t="s">
        <v>37</v>
      </c>
      <c r="J3" s="46" t="s">
        <v>39</v>
      </c>
      <c r="K3" s="46" t="s">
        <v>2</v>
      </c>
      <c r="L3" s="58" t="s">
        <v>71</v>
      </c>
      <c r="M3" s="46" t="s">
        <v>5</v>
      </c>
      <c r="N3" s="46" t="s">
        <v>5</v>
      </c>
    </row>
    <row r="4" spans="1:14" ht="15.75" thickBot="1" x14ac:dyDescent="0.3">
      <c r="A4" s="306"/>
      <c r="B4" s="57"/>
      <c r="C4" s="57"/>
      <c r="D4" s="74"/>
      <c r="E4" s="57"/>
      <c r="F4" s="306"/>
      <c r="G4" s="45"/>
      <c r="H4" s="306"/>
      <c r="I4" s="45"/>
      <c r="J4" s="45"/>
      <c r="K4" s="47" t="s">
        <v>3</v>
      </c>
      <c r="L4" s="47" t="s">
        <v>4</v>
      </c>
      <c r="M4" s="47" t="s">
        <v>6</v>
      </c>
      <c r="N4" s="47" t="s">
        <v>7</v>
      </c>
    </row>
    <row r="5" spans="1:14" ht="15" thickBot="1" x14ac:dyDescent="0.25">
      <c r="A5" s="48" t="s">
        <v>44</v>
      </c>
      <c r="B5" s="62"/>
      <c r="C5" s="62"/>
      <c r="D5" s="62"/>
      <c r="E5" s="62"/>
      <c r="F5" s="49" t="s">
        <v>45</v>
      </c>
      <c r="G5" s="49" t="s">
        <v>45</v>
      </c>
      <c r="H5" s="49" t="s">
        <v>45</v>
      </c>
      <c r="I5" s="49" t="s">
        <v>46</v>
      </c>
      <c r="J5" s="49" t="s">
        <v>47</v>
      </c>
      <c r="K5" s="49" t="s">
        <v>47</v>
      </c>
      <c r="L5" s="49" t="s">
        <v>46</v>
      </c>
      <c r="M5" s="49" t="s">
        <v>47</v>
      </c>
      <c r="N5" s="49" t="s">
        <v>47</v>
      </c>
    </row>
    <row r="6" spans="1:14" ht="29.45" thickBot="1" x14ac:dyDescent="0.25">
      <c r="A6" s="50" t="s">
        <v>48</v>
      </c>
      <c r="B6" s="63"/>
      <c r="C6" s="63"/>
      <c r="D6" s="63"/>
      <c r="E6" s="63"/>
      <c r="F6" s="51" t="s">
        <v>8</v>
      </c>
      <c r="G6" s="51"/>
      <c r="H6" s="51"/>
      <c r="I6" s="51"/>
      <c r="J6" s="51"/>
      <c r="K6" s="51"/>
      <c r="L6" s="51"/>
      <c r="M6" s="51"/>
      <c r="N6" s="51"/>
    </row>
    <row r="7" spans="1:14" ht="16.899999999999999" thickBot="1" x14ac:dyDescent="0.25">
      <c r="A7" s="50" t="s">
        <v>49</v>
      </c>
      <c r="B7" s="63"/>
      <c r="C7" s="63"/>
      <c r="D7" s="63"/>
      <c r="E7" s="63"/>
      <c r="F7" s="51" t="s">
        <v>8</v>
      </c>
      <c r="G7" s="51"/>
      <c r="H7" s="51"/>
      <c r="I7" s="51"/>
      <c r="J7" s="51"/>
      <c r="K7" s="51" t="s">
        <v>50</v>
      </c>
      <c r="L7" s="51"/>
      <c r="M7" s="51" t="s">
        <v>50</v>
      </c>
      <c r="N7" s="51" t="s">
        <v>50</v>
      </c>
    </row>
    <row r="8" spans="1:14" ht="16.899999999999999" thickBot="1" x14ac:dyDescent="0.25">
      <c r="A8" s="50" t="s">
        <v>51</v>
      </c>
      <c r="B8" s="63"/>
      <c r="C8" s="63"/>
      <c r="D8" s="63"/>
      <c r="E8" s="63"/>
      <c r="F8" s="51"/>
      <c r="G8" s="51"/>
      <c r="H8" s="51"/>
      <c r="I8" s="51"/>
      <c r="J8" s="51"/>
      <c r="K8" s="51" t="s">
        <v>52</v>
      </c>
      <c r="L8" s="51"/>
      <c r="M8" s="51" t="s">
        <v>52</v>
      </c>
      <c r="N8" s="51" t="s">
        <v>52</v>
      </c>
    </row>
    <row r="9" spans="1:14" ht="15" thickBot="1" x14ac:dyDescent="0.25">
      <c r="A9" s="50" t="s">
        <v>9</v>
      </c>
      <c r="B9" s="63"/>
      <c r="C9" s="63"/>
      <c r="D9" s="63"/>
      <c r="E9" s="63"/>
      <c r="F9" s="51" t="s">
        <v>8</v>
      </c>
      <c r="G9" s="51"/>
      <c r="H9" s="51"/>
      <c r="I9" s="51"/>
      <c r="J9" s="51"/>
      <c r="K9" s="51"/>
      <c r="L9" s="51"/>
      <c r="M9" s="51"/>
      <c r="N9" s="51"/>
    </row>
    <row r="10" spans="1:14" ht="15" x14ac:dyDescent="0.2">
      <c r="A10" s="52" t="s">
        <v>53</v>
      </c>
      <c r="B10" s="52"/>
      <c r="C10" s="52"/>
      <c r="D10" s="52"/>
      <c r="E10" s="52"/>
      <c r="F10" s="302"/>
      <c r="G10" s="302" t="s">
        <v>8</v>
      </c>
      <c r="H10" s="302" t="s">
        <v>55</v>
      </c>
      <c r="I10" s="302"/>
      <c r="J10" s="302"/>
      <c r="K10" s="302" t="s">
        <v>8</v>
      </c>
      <c r="L10" s="302"/>
      <c r="M10" s="302" t="s">
        <v>8</v>
      </c>
      <c r="N10" s="302" t="s">
        <v>8</v>
      </c>
    </row>
    <row r="11" spans="1:14" ht="18" thickBot="1" x14ac:dyDescent="0.25">
      <c r="A11" s="50" t="s">
        <v>54</v>
      </c>
      <c r="B11" s="50"/>
      <c r="C11" s="50"/>
      <c r="D11" s="50"/>
      <c r="E11" s="50"/>
      <c r="F11" s="303"/>
      <c r="G11" s="303"/>
      <c r="H11" s="303"/>
      <c r="I11" s="303"/>
      <c r="J11" s="303"/>
      <c r="K11" s="303"/>
      <c r="L11" s="303"/>
      <c r="M11" s="303"/>
      <c r="N11" s="303"/>
    </row>
    <row r="12" spans="1:14" ht="15" thickBot="1" x14ac:dyDescent="0.25">
      <c r="A12" s="50" t="s">
        <v>10</v>
      </c>
      <c r="B12" s="63"/>
      <c r="C12" s="63"/>
      <c r="D12" s="63"/>
      <c r="E12" s="63"/>
      <c r="F12" s="51"/>
      <c r="G12" s="51" t="s">
        <v>8</v>
      </c>
      <c r="H12" s="51"/>
      <c r="I12" s="51"/>
      <c r="J12" s="51"/>
      <c r="K12" s="51"/>
      <c r="L12" s="51"/>
      <c r="M12" s="51" t="s">
        <v>8</v>
      </c>
      <c r="N12" s="51" t="s">
        <v>8</v>
      </c>
    </row>
    <row r="13" spans="1:14" ht="15" thickBot="1" x14ac:dyDescent="0.25">
      <c r="A13" s="50" t="s">
        <v>11</v>
      </c>
      <c r="B13" s="63"/>
      <c r="C13" s="63"/>
      <c r="D13" s="63"/>
      <c r="E13" s="63"/>
      <c r="F13" s="51"/>
      <c r="G13" s="51" t="s">
        <v>8</v>
      </c>
      <c r="H13" s="51"/>
      <c r="I13" s="51"/>
      <c r="J13" s="51"/>
      <c r="K13" s="51"/>
      <c r="L13" s="51"/>
      <c r="M13" s="51"/>
      <c r="N13" s="51" t="s">
        <v>8</v>
      </c>
    </row>
    <row r="14" spans="1:14" ht="15" thickBot="1" x14ac:dyDescent="0.25">
      <c r="A14" s="50" t="s">
        <v>12</v>
      </c>
      <c r="B14" s="63"/>
      <c r="C14" s="63"/>
      <c r="D14" s="63"/>
      <c r="E14" s="63"/>
      <c r="F14" s="51"/>
      <c r="G14" s="51" t="s">
        <v>8</v>
      </c>
      <c r="H14" s="51"/>
      <c r="I14" s="51"/>
      <c r="J14" s="51"/>
      <c r="K14" s="51"/>
      <c r="L14" s="51"/>
      <c r="M14" s="51"/>
      <c r="N14" s="51" t="s">
        <v>8</v>
      </c>
    </row>
    <row r="15" spans="1:14" ht="16.899999999999999" thickBot="1" x14ac:dyDescent="0.25">
      <c r="A15" s="50" t="s">
        <v>56</v>
      </c>
      <c r="B15" s="63"/>
      <c r="C15" s="63"/>
      <c r="D15" s="63"/>
      <c r="E15" s="63"/>
      <c r="F15" s="51"/>
      <c r="G15" s="51" t="s">
        <v>8</v>
      </c>
      <c r="H15" s="51"/>
      <c r="I15" s="51"/>
      <c r="J15" s="51"/>
      <c r="K15" s="51"/>
      <c r="L15" s="51"/>
      <c r="M15" s="51" t="s">
        <v>8</v>
      </c>
      <c r="N15" s="51" t="s">
        <v>8</v>
      </c>
    </row>
    <row r="16" spans="1:14" ht="16.899999999999999" thickBot="1" x14ac:dyDescent="0.25">
      <c r="A16" s="50" t="s">
        <v>57</v>
      </c>
      <c r="B16" s="63"/>
      <c r="C16" s="63"/>
      <c r="D16" s="63"/>
      <c r="E16" s="63"/>
      <c r="F16" s="51"/>
      <c r="G16" s="51" t="s">
        <v>8</v>
      </c>
      <c r="H16" s="51"/>
      <c r="I16" s="51"/>
      <c r="J16" s="51"/>
      <c r="K16" s="51"/>
      <c r="L16" s="51"/>
      <c r="M16" s="51"/>
      <c r="N16" s="51"/>
    </row>
    <row r="17" spans="1:14" ht="16.899999999999999" thickBot="1" x14ac:dyDescent="0.25">
      <c r="A17" s="50" t="s">
        <v>58</v>
      </c>
      <c r="B17" s="63"/>
      <c r="C17" s="63"/>
      <c r="D17" s="63"/>
      <c r="E17" s="63"/>
      <c r="F17" s="51"/>
      <c r="G17" s="51"/>
      <c r="H17" s="51"/>
      <c r="I17" s="51"/>
      <c r="J17" s="51" t="s">
        <v>8</v>
      </c>
      <c r="K17" s="51" t="s">
        <v>8</v>
      </c>
      <c r="L17" s="51"/>
      <c r="M17" s="51" t="s">
        <v>8</v>
      </c>
      <c r="N17" s="51" t="s">
        <v>8</v>
      </c>
    </row>
    <row r="18" spans="1:14" ht="29.45" thickBot="1" x14ac:dyDescent="0.25">
      <c r="A18" s="50" t="s">
        <v>59</v>
      </c>
      <c r="B18" s="63"/>
      <c r="C18" s="63"/>
      <c r="D18" s="63"/>
      <c r="E18" s="63"/>
      <c r="F18" s="51"/>
      <c r="G18" s="51" t="s">
        <v>8</v>
      </c>
      <c r="H18" s="51"/>
      <c r="I18" s="51"/>
      <c r="J18" s="51"/>
      <c r="K18" s="51"/>
      <c r="L18" s="51"/>
      <c r="M18" s="51" t="s">
        <v>8</v>
      </c>
      <c r="N18" s="51" t="s">
        <v>8</v>
      </c>
    </row>
    <row r="19" spans="1:14" ht="15" thickBot="1" x14ac:dyDescent="0.25">
      <c r="A19" s="50" t="s">
        <v>60</v>
      </c>
      <c r="B19" s="63"/>
      <c r="C19" s="63"/>
      <c r="D19" s="63"/>
      <c r="E19" s="63"/>
      <c r="F19" s="51"/>
      <c r="G19" s="51"/>
      <c r="H19" s="51"/>
      <c r="I19" s="51" t="s">
        <v>8</v>
      </c>
      <c r="J19" s="51" t="s">
        <v>8</v>
      </c>
      <c r="K19" s="51" t="s">
        <v>8</v>
      </c>
      <c r="L19" s="51" t="s">
        <v>8</v>
      </c>
      <c r="M19" s="51" t="s">
        <v>8</v>
      </c>
      <c r="N19" s="51" t="s">
        <v>8</v>
      </c>
    </row>
    <row r="20" spans="1:14" ht="16.899999999999999" thickBot="1" x14ac:dyDescent="0.25">
      <c r="A20" s="50" t="s">
        <v>61</v>
      </c>
      <c r="B20" s="63"/>
      <c r="C20" s="63"/>
      <c r="D20" s="63"/>
      <c r="E20" s="63"/>
      <c r="F20" s="51"/>
      <c r="G20" s="51"/>
      <c r="H20" s="51"/>
      <c r="I20" s="51" t="s">
        <v>8</v>
      </c>
      <c r="J20" s="51" t="s">
        <v>8</v>
      </c>
      <c r="K20" s="51" t="s">
        <v>8</v>
      </c>
      <c r="L20" s="51" t="s">
        <v>8</v>
      </c>
      <c r="M20" s="51" t="s">
        <v>8</v>
      </c>
      <c r="N20" s="51" t="s">
        <v>8</v>
      </c>
    </row>
    <row r="21" spans="1:14" ht="29.45" thickBot="1" x14ac:dyDescent="0.25">
      <c r="A21" s="50" t="s">
        <v>13</v>
      </c>
      <c r="B21" s="63"/>
      <c r="C21" s="63"/>
      <c r="D21" s="63"/>
      <c r="E21" s="63"/>
      <c r="F21" s="51"/>
      <c r="G21" s="51"/>
      <c r="H21" s="51"/>
      <c r="I21" s="51" t="s">
        <v>8</v>
      </c>
      <c r="J21" s="51" t="s">
        <v>8</v>
      </c>
      <c r="K21" s="51" t="s">
        <v>8</v>
      </c>
      <c r="L21" s="51" t="s">
        <v>8</v>
      </c>
      <c r="M21" s="51" t="s">
        <v>8</v>
      </c>
      <c r="N21" s="51" t="s">
        <v>8</v>
      </c>
    </row>
    <row r="22" spans="1:14" ht="15" thickBot="1" x14ac:dyDescent="0.25">
      <c r="A22" s="50" t="s">
        <v>14</v>
      </c>
      <c r="B22" s="63"/>
      <c r="C22" s="63"/>
      <c r="D22" s="63"/>
      <c r="E22" s="63"/>
      <c r="F22" s="51"/>
      <c r="G22" s="51" t="s">
        <v>8</v>
      </c>
      <c r="H22" s="51"/>
      <c r="I22" s="51" t="s">
        <v>8</v>
      </c>
      <c r="J22" s="51" t="s">
        <v>8</v>
      </c>
      <c r="K22" s="51" t="s">
        <v>8</v>
      </c>
      <c r="L22" s="51" t="s">
        <v>8</v>
      </c>
      <c r="M22" s="51" t="s">
        <v>8</v>
      </c>
      <c r="N22" s="51"/>
    </row>
    <row r="23" spans="1:14" ht="15" thickBot="1" x14ac:dyDescent="0.25">
      <c r="A23" s="50" t="s">
        <v>62</v>
      </c>
      <c r="B23" s="63"/>
      <c r="C23" s="63"/>
      <c r="D23" s="63"/>
      <c r="E23" s="63"/>
      <c r="F23" s="51" t="s">
        <v>8</v>
      </c>
      <c r="G23" s="51" t="s">
        <v>8</v>
      </c>
      <c r="H23" s="51" t="s">
        <v>8</v>
      </c>
      <c r="I23" s="51"/>
      <c r="J23" s="51"/>
      <c r="K23" s="51" t="s">
        <v>8</v>
      </c>
      <c r="L23" s="51"/>
      <c r="M23" s="51" t="s">
        <v>8</v>
      </c>
      <c r="N23" s="51" t="s">
        <v>8</v>
      </c>
    </row>
    <row r="24" spans="1:14" ht="30" x14ac:dyDescent="0.2">
      <c r="A24" s="52" t="s">
        <v>63</v>
      </c>
      <c r="B24" s="52"/>
      <c r="C24" s="52"/>
      <c r="D24" s="52"/>
      <c r="E24" s="52"/>
      <c r="F24" s="302"/>
      <c r="G24" s="302" t="s">
        <v>8</v>
      </c>
      <c r="H24" s="302"/>
      <c r="I24" s="302"/>
      <c r="J24" s="302"/>
      <c r="K24" s="302" t="s">
        <v>8</v>
      </c>
      <c r="L24" s="302"/>
      <c r="M24" s="302"/>
      <c r="N24" s="302" t="s">
        <v>8</v>
      </c>
    </row>
    <row r="25" spans="1:14" ht="30.75" thickBot="1" x14ac:dyDescent="0.25">
      <c r="A25" s="50" t="s">
        <v>64</v>
      </c>
      <c r="B25" s="50"/>
      <c r="C25" s="50"/>
      <c r="D25" s="50"/>
      <c r="E25" s="50"/>
      <c r="F25" s="303"/>
      <c r="G25" s="303"/>
      <c r="H25" s="303"/>
      <c r="I25" s="303"/>
      <c r="J25" s="303"/>
      <c r="K25" s="303"/>
      <c r="L25" s="303"/>
      <c r="M25" s="303"/>
      <c r="N25" s="303"/>
    </row>
    <row r="26" spans="1:14" ht="15" thickBot="1" x14ac:dyDescent="0.25">
      <c r="A26" s="50" t="s">
        <v>65</v>
      </c>
      <c r="B26" s="63"/>
      <c r="C26" s="63"/>
      <c r="D26" s="63"/>
      <c r="E26" s="63"/>
      <c r="F26" s="51"/>
      <c r="G26" s="51" t="s">
        <v>8</v>
      </c>
      <c r="H26" s="51"/>
      <c r="I26" s="51"/>
      <c r="J26" s="51"/>
      <c r="K26" s="51" t="s">
        <v>8</v>
      </c>
      <c r="L26" s="51"/>
      <c r="M26" s="51"/>
      <c r="N26" s="51" t="s">
        <v>8</v>
      </c>
    </row>
    <row r="27" spans="1:14" ht="15" thickBot="1" x14ac:dyDescent="0.25">
      <c r="A27" s="50" t="s">
        <v>15</v>
      </c>
      <c r="B27" s="63"/>
      <c r="C27" s="63"/>
      <c r="D27" s="63"/>
      <c r="E27" s="63"/>
      <c r="F27" s="51"/>
      <c r="G27" s="51"/>
      <c r="H27" s="51"/>
      <c r="I27" s="51"/>
      <c r="J27" s="51"/>
      <c r="K27" s="51"/>
      <c r="L27" s="51"/>
      <c r="M27" s="51"/>
      <c r="N27" s="51" t="s">
        <v>8</v>
      </c>
    </row>
    <row r="28" spans="1:14" ht="12.75" customHeight="1" x14ac:dyDescent="0.3">
      <c r="A28" s="54" t="s">
        <v>66</v>
      </c>
      <c r="B28" s="54"/>
      <c r="C28" s="54"/>
      <c r="D28" s="54"/>
      <c r="E28" s="54"/>
      <c r="F28" s="54" t="s">
        <v>67</v>
      </c>
      <c r="G28" s="54" t="s">
        <v>68</v>
      </c>
      <c r="H28" s="54" t="s">
        <v>69</v>
      </c>
      <c r="I28"/>
      <c r="J28"/>
      <c r="K28"/>
      <c r="L28"/>
      <c r="M28"/>
      <c r="N28"/>
    </row>
    <row r="29" spans="1:14" ht="12.75" customHeight="1" x14ac:dyDescent="0.3">
      <c r="A29" s="55" t="s">
        <v>70</v>
      </c>
      <c r="B29" s="55"/>
      <c r="C29" s="55"/>
      <c r="D29" s="55"/>
      <c r="E29" s="55"/>
      <c r="F29"/>
      <c r="G29"/>
      <c r="H29"/>
      <c r="I29"/>
      <c r="J29"/>
      <c r="K29"/>
      <c r="L29"/>
      <c r="M29"/>
      <c r="N29"/>
    </row>
    <row r="30" spans="1:14" ht="24" customHeight="1" x14ac:dyDescent="0.2">
      <c r="A30" s="307" t="s">
        <v>16</v>
      </c>
      <c r="B30" s="307"/>
      <c r="C30" s="307"/>
      <c r="D30" s="307"/>
      <c r="E30" s="307"/>
      <c r="F30" s="308"/>
      <c r="G30" s="308"/>
      <c r="H30" s="1"/>
    </row>
    <row r="31" spans="1:14" ht="11.25" customHeight="1" x14ac:dyDescent="0.2">
      <c r="G31" s="2"/>
    </row>
    <row r="38" spans="1:16" ht="24" customHeight="1" x14ac:dyDescent="0.2">
      <c r="A38" s="4"/>
      <c r="B38" s="30"/>
      <c r="C38" s="30"/>
      <c r="D38" s="75"/>
      <c r="E38" s="31"/>
      <c r="F38" s="5"/>
      <c r="G38" s="5"/>
      <c r="H38" s="4"/>
    </row>
    <row r="39" spans="1:16" ht="24" customHeight="1" x14ac:dyDescent="0.2">
      <c r="A39" s="15" t="s">
        <v>0</v>
      </c>
      <c r="B39" s="15"/>
      <c r="C39" s="15"/>
      <c r="D39" s="15"/>
      <c r="E39" s="15"/>
      <c r="F39" s="5"/>
      <c r="G39" s="5"/>
      <c r="H39" s="4"/>
    </row>
    <row r="40" spans="1:16" ht="10.9" thickBot="1" x14ac:dyDescent="0.25"/>
    <row r="41" spans="1:16" customFormat="1" ht="72" x14ac:dyDescent="0.3">
      <c r="A41" s="24"/>
      <c r="B41" s="64" t="s">
        <v>79</v>
      </c>
      <c r="C41" s="70" t="s">
        <v>80</v>
      </c>
      <c r="D41" s="70" t="s">
        <v>94</v>
      </c>
      <c r="E41" s="70" t="s">
        <v>85</v>
      </c>
      <c r="F41" s="59" t="s">
        <v>33</v>
      </c>
      <c r="G41" s="59" t="s">
        <v>1</v>
      </c>
      <c r="H41" s="59" t="s">
        <v>88</v>
      </c>
      <c r="I41" s="59" t="s">
        <v>17</v>
      </c>
      <c r="J41" s="59" t="s">
        <v>18</v>
      </c>
      <c r="K41" s="59" t="s">
        <v>89</v>
      </c>
      <c r="L41" s="59" t="s">
        <v>19</v>
      </c>
      <c r="M41" s="60" t="s">
        <v>20</v>
      </c>
      <c r="N41" s="93" t="s">
        <v>83</v>
      </c>
      <c r="O41" s="94" t="s">
        <v>84</v>
      </c>
      <c r="P41" s="94" t="s">
        <v>31</v>
      </c>
    </row>
    <row r="42" spans="1:16" customFormat="1" ht="14.45" x14ac:dyDescent="0.3">
      <c r="A42" s="25"/>
      <c r="B42" s="65"/>
      <c r="C42" s="65"/>
      <c r="D42" s="65"/>
      <c r="E42" s="65"/>
      <c r="F42" s="26"/>
      <c r="G42" s="26"/>
      <c r="H42" s="26"/>
      <c r="I42" s="26"/>
      <c r="J42" s="26"/>
      <c r="K42" s="26"/>
      <c r="L42" s="26"/>
      <c r="M42" s="27"/>
    </row>
    <row r="43" spans="1:16" customFormat="1" ht="14.45" x14ac:dyDescent="0.3">
      <c r="A43" s="67" t="s">
        <v>78</v>
      </c>
      <c r="B43" s="71">
        <v>300</v>
      </c>
      <c r="C43" s="71">
        <v>40</v>
      </c>
      <c r="D43" s="71">
        <v>50</v>
      </c>
      <c r="E43" s="71"/>
      <c r="F43" s="68"/>
      <c r="G43" s="68"/>
      <c r="H43" s="68"/>
      <c r="I43" s="68"/>
      <c r="J43" s="68"/>
      <c r="K43" s="68"/>
      <c r="L43" s="68"/>
      <c r="M43" s="69"/>
    </row>
    <row r="44" spans="1:16" s="83" customFormat="1" ht="14.45" x14ac:dyDescent="0.3">
      <c r="A44" s="84" t="s">
        <v>81</v>
      </c>
      <c r="B44" s="86">
        <v>40</v>
      </c>
      <c r="C44" s="86">
        <v>90</v>
      </c>
      <c r="D44" s="86"/>
      <c r="E44" s="85">
        <f>((B$43/60)*B44)+((C$43/60)*C44+((D$43/60)*D44))</f>
        <v>260</v>
      </c>
      <c r="F44" s="95">
        <v>1</v>
      </c>
      <c r="G44" s="87"/>
      <c r="H44" s="87"/>
      <c r="I44" s="87"/>
      <c r="J44" s="87"/>
      <c r="K44" s="87"/>
      <c r="L44" s="87"/>
      <c r="M44" s="88"/>
      <c r="N44" s="96">
        <f>SUM(F44:M44)*E44</f>
        <v>260</v>
      </c>
    </row>
    <row r="45" spans="1:16" customFormat="1" ht="14.45" x14ac:dyDescent="0.3">
      <c r="A45" s="6" t="s">
        <v>76</v>
      </c>
      <c r="B45" s="89"/>
      <c r="C45" s="89">
        <v>20</v>
      </c>
      <c r="D45" s="100"/>
      <c r="E45" s="85">
        <f t="shared" ref="E45:E61" si="0">((B$43/60)*B45)+((C$43/60)*C45+((D$43/60)*D45))</f>
        <v>13.333333333333332</v>
      </c>
      <c r="F45" s="76">
        <v>1</v>
      </c>
      <c r="G45" s="76"/>
      <c r="H45" s="76"/>
      <c r="I45" s="76"/>
      <c r="J45" s="77"/>
      <c r="K45" s="77"/>
      <c r="L45" s="77"/>
      <c r="M45" s="78"/>
      <c r="N45" s="96">
        <f t="shared" ref="N45:N60" si="1">SUM(F45:M45)*E45</f>
        <v>13.333333333333332</v>
      </c>
    </row>
    <row r="46" spans="1:16" customFormat="1" ht="14.45" x14ac:dyDescent="0.3">
      <c r="A46" s="6" t="s">
        <v>77</v>
      </c>
      <c r="B46" s="89"/>
      <c r="C46" s="89">
        <v>20</v>
      </c>
      <c r="D46" s="100"/>
      <c r="E46" s="85">
        <f t="shared" si="0"/>
        <v>13.333333333333332</v>
      </c>
      <c r="F46" s="76"/>
      <c r="G46" s="76"/>
      <c r="H46" s="76"/>
      <c r="I46" s="76"/>
      <c r="J46" s="77">
        <v>1</v>
      </c>
      <c r="K46" s="77"/>
      <c r="L46" s="77">
        <v>1</v>
      </c>
      <c r="M46" s="78">
        <v>1</v>
      </c>
      <c r="N46" s="96">
        <f t="shared" si="1"/>
        <v>40</v>
      </c>
    </row>
    <row r="47" spans="1:16" customFormat="1" ht="14.45" x14ac:dyDescent="0.3">
      <c r="A47" s="6" t="s">
        <v>9</v>
      </c>
      <c r="B47" s="89"/>
      <c r="C47" s="89">
        <v>30</v>
      </c>
      <c r="D47" s="100"/>
      <c r="E47" s="85">
        <f t="shared" si="0"/>
        <v>20</v>
      </c>
      <c r="F47" s="76">
        <v>1</v>
      </c>
      <c r="G47" s="76"/>
      <c r="H47" s="76"/>
      <c r="I47" s="76"/>
      <c r="J47" s="77"/>
      <c r="K47" s="77"/>
      <c r="L47" s="77"/>
      <c r="M47" s="78"/>
      <c r="N47" s="96">
        <f t="shared" si="1"/>
        <v>20</v>
      </c>
    </row>
    <row r="48" spans="1:16" customFormat="1" ht="14.45" x14ac:dyDescent="0.3">
      <c r="A48" s="7" t="s">
        <v>23</v>
      </c>
      <c r="B48" s="90">
        <v>30</v>
      </c>
      <c r="C48" s="90"/>
      <c r="D48" s="101"/>
      <c r="E48" s="85">
        <f t="shared" si="0"/>
        <v>150</v>
      </c>
      <c r="F48" s="76"/>
      <c r="G48" s="76">
        <v>1</v>
      </c>
      <c r="H48" s="79">
        <v>1</v>
      </c>
      <c r="I48" s="79">
        <v>1</v>
      </c>
      <c r="J48" s="79">
        <v>1</v>
      </c>
      <c r="K48" s="76"/>
      <c r="L48" s="79">
        <v>1</v>
      </c>
      <c r="M48" s="79">
        <v>1</v>
      </c>
      <c r="N48" s="96">
        <f t="shared" si="1"/>
        <v>900</v>
      </c>
    </row>
    <row r="49" spans="1:14" customFormat="1" ht="14.45" x14ac:dyDescent="0.3">
      <c r="A49" s="7" t="s">
        <v>93</v>
      </c>
      <c r="B49" s="90">
        <v>15</v>
      </c>
      <c r="C49" s="90"/>
      <c r="D49" s="101"/>
      <c r="E49" s="85">
        <f t="shared" si="0"/>
        <v>75</v>
      </c>
      <c r="F49" s="76"/>
      <c r="G49" s="76"/>
      <c r="H49" s="79"/>
      <c r="I49" s="79"/>
      <c r="J49" s="79"/>
      <c r="K49" s="76"/>
      <c r="L49" s="79"/>
      <c r="M49" s="79"/>
      <c r="N49" s="96"/>
    </row>
    <row r="50" spans="1:14" customFormat="1" ht="14.45" x14ac:dyDescent="0.3">
      <c r="A50" s="6" t="s">
        <v>12</v>
      </c>
      <c r="B50" s="89"/>
      <c r="C50" s="89"/>
      <c r="D50" s="100">
        <v>30</v>
      </c>
      <c r="E50" s="85">
        <f t="shared" si="0"/>
        <v>25</v>
      </c>
      <c r="F50" s="76"/>
      <c r="G50" s="76">
        <v>1</v>
      </c>
      <c r="H50" s="76"/>
      <c r="I50" s="76"/>
      <c r="J50" s="76"/>
      <c r="K50" s="76"/>
      <c r="L50" s="76"/>
      <c r="M50" s="79">
        <v>1</v>
      </c>
      <c r="N50" s="96">
        <f t="shared" si="1"/>
        <v>50</v>
      </c>
    </row>
    <row r="51" spans="1:14" customFormat="1" ht="14.45" x14ac:dyDescent="0.3">
      <c r="A51" s="6" t="s">
        <v>32</v>
      </c>
      <c r="B51" s="89"/>
      <c r="C51" s="89">
        <v>20</v>
      </c>
      <c r="D51" s="100"/>
      <c r="E51" s="85">
        <f t="shared" si="0"/>
        <v>13.333333333333332</v>
      </c>
      <c r="F51" s="76"/>
      <c r="G51" s="76">
        <v>1</v>
      </c>
      <c r="H51" s="76"/>
      <c r="I51" s="76"/>
      <c r="J51" s="76"/>
      <c r="K51" s="76"/>
      <c r="L51" s="79">
        <v>1</v>
      </c>
      <c r="M51" s="79">
        <v>1</v>
      </c>
      <c r="N51" s="96">
        <f t="shared" si="1"/>
        <v>40</v>
      </c>
    </row>
    <row r="52" spans="1:14" customFormat="1" ht="14.45" x14ac:dyDescent="0.3">
      <c r="A52" s="6" t="s">
        <v>21</v>
      </c>
      <c r="B52" s="89"/>
      <c r="C52" s="89">
        <v>20</v>
      </c>
      <c r="D52" s="100"/>
      <c r="E52" s="85">
        <f t="shared" si="0"/>
        <v>13.333333333333332</v>
      </c>
      <c r="F52" s="76"/>
      <c r="G52" s="76">
        <v>1</v>
      </c>
      <c r="H52" s="76"/>
      <c r="I52" s="76"/>
      <c r="J52" s="76"/>
      <c r="K52" s="76"/>
      <c r="L52" s="79">
        <v>1</v>
      </c>
      <c r="M52" s="79">
        <v>1</v>
      </c>
      <c r="N52" s="96">
        <f t="shared" si="1"/>
        <v>40</v>
      </c>
    </row>
    <row r="53" spans="1:14" customFormat="1" ht="14.45" x14ac:dyDescent="0.3">
      <c r="A53" s="6" t="s">
        <v>86</v>
      </c>
      <c r="B53" s="89"/>
      <c r="C53" s="89">
        <v>30</v>
      </c>
      <c r="D53" s="100"/>
      <c r="E53" s="85">
        <f t="shared" si="0"/>
        <v>20</v>
      </c>
      <c r="F53" s="76"/>
      <c r="G53" s="76">
        <v>1</v>
      </c>
      <c r="H53" s="76"/>
      <c r="I53" s="76"/>
      <c r="J53" s="79">
        <v>1</v>
      </c>
      <c r="K53" s="76"/>
      <c r="L53" s="76"/>
      <c r="M53" s="79">
        <v>1</v>
      </c>
      <c r="N53" s="96">
        <f t="shared" si="1"/>
        <v>60</v>
      </c>
    </row>
    <row r="54" spans="1:14" customFormat="1" ht="28.9" x14ac:dyDescent="0.3">
      <c r="A54" s="98" t="s">
        <v>90</v>
      </c>
      <c r="B54" s="91"/>
      <c r="C54" s="91">
        <v>30</v>
      </c>
      <c r="D54" s="100"/>
      <c r="E54" s="85">
        <f t="shared" si="0"/>
        <v>20</v>
      </c>
      <c r="F54" s="79"/>
      <c r="G54" s="79"/>
      <c r="H54" s="79"/>
      <c r="I54" s="79"/>
      <c r="J54" s="79"/>
      <c r="K54" s="79"/>
      <c r="L54" s="79"/>
      <c r="M54" s="79"/>
      <c r="N54" s="96"/>
    </row>
    <row r="55" spans="1:14" customFormat="1" ht="14.45" x14ac:dyDescent="0.3">
      <c r="A55" s="8" t="s">
        <v>82</v>
      </c>
      <c r="B55" s="91"/>
      <c r="C55" s="91"/>
      <c r="D55" s="100">
        <v>30</v>
      </c>
      <c r="E55" s="85">
        <f t="shared" si="0"/>
        <v>25</v>
      </c>
      <c r="F55" s="79"/>
      <c r="G55" s="79">
        <v>1</v>
      </c>
      <c r="H55" s="79"/>
      <c r="I55" s="79"/>
      <c r="J55" s="79"/>
      <c r="K55" s="79"/>
      <c r="L55" s="79">
        <v>1</v>
      </c>
      <c r="M55" s="79">
        <v>1</v>
      </c>
      <c r="N55" s="96">
        <f t="shared" si="1"/>
        <v>75</v>
      </c>
    </row>
    <row r="56" spans="1:14" customFormat="1" ht="14.45" x14ac:dyDescent="0.3">
      <c r="A56" s="8" t="s">
        <v>24</v>
      </c>
      <c r="B56" s="91"/>
      <c r="C56" s="91">
        <v>90</v>
      </c>
      <c r="D56" s="100"/>
      <c r="E56" s="85">
        <f t="shared" si="0"/>
        <v>60</v>
      </c>
      <c r="F56" s="79"/>
      <c r="G56" s="79">
        <v>1</v>
      </c>
      <c r="H56" s="79"/>
      <c r="I56" s="79"/>
      <c r="J56" s="79"/>
      <c r="K56" s="79"/>
      <c r="L56" s="79">
        <v>1</v>
      </c>
      <c r="M56" s="80">
        <v>1</v>
      </c>
      <c r="N56" s="96">
        <f t="shared" si="1"/>
        <v>180</v>
      </c>
    </row>
    <row r="57" spans="1:14" customFormat="1" ht="14.45" x14ac:dyDescent="0.3">
      <c r="A57" s="8" t="s">
        <v>25</v>
      </c>
      <c r="B57" s="91">
        <v>5</v>
      </c>
      <c r="C57" s="91">
        <v>30</v>
      </c>
      <c r="D57" s="100"/>
      <c r="E57" s="85">
        <f t="shared" si="0"/>
        <v>45</v>
      </c>
      <c r="F57" s="79">
        <v>1</v>
      </c>
      <c r="G57" s="79">
        <v>1</v>
      </c>
      <c r="H57" s="79">
        <v>1</v>
      </c>
      <c r="I57" s="79">
        <v>1</v>
      </c>
      <c r="J57" s="79">
        <v>1</v>
      </c>
      <c r="K57" s="79">
        <v>1</v>
      </c>
      <c r="L57" s="79">
        <v>1</v>
      </c>
      <c r="M57" s="80">
        <v>1</v>
      </c>
      <c r="N57" s="96">
        <f t="shared" si="1"/>
        <v>360</v>
      </c>
    </row>
    <row r="58" spans="1:14" customFormat="1" ht="14.45" x14ac:dyDescent="0.3">
      <c r="A58" s="8" t="s">
        <v>87</v>
      </c>
      <c r="B58" s="91">
        <v>15</v>
      </c>
      <c r="C58" s="91">
        <v>15</v>
      </c>
      <c r="D58" s="100"/>
      <c r="E58" s="85">
        <f t="shared" si="0"/>
        <v>85</v>
      </c>
      <c r="F58" s="79"/>
      <c r="G58" s="79"/>
      <c r="H58" s="79"/>
      <c r="I58" s="79"/>
      <c r="J58" s="79"/>
      <c r="K58" s="79"/>
      <c r="L58" s="79"/>
      <c r="M58" s="80"/>
      <c r="N58" s="96"/>
    </row>
    <row r="59" spans="1:14" s="16" customFormat="1" ht="14.45" x14ac:dyDescent="0.3">
      <c r="A59" s="20" t="s">
        <v>26</v>
      </c>
      <c r="B59" s="92"/>
      <c r="C59" s="92">
        <v>15</v>
      </c>
      <c r="D59" s="100"/>
      <c r="E59" s="85">
        <f t="shared" si="0"/>
        <v>10</v>
      </c>
      <c r="F59" s="81"/>
      <c r="G59" s="81"/>
      <c r="H59" s="81"/>
      <c r="I59" s="81">
        <v>1</v>
      </c>
      <c r="J59" s="81">
        <v>1</v>
      </c>
      <c r="K59" s="81"/>
      <c r="L59" s="81">
        <v>1</v>
      </c>
      <c r="M59" s="82">
        <v>1</v>
      </c>
      <c r="N59" s="96">
        <f t="shared" si="1"/>
        <v>40</v>
      </c>
    </row>
    <row r="60" spans="1:14" s="16" customFormat="1" ht="28.9" x14ac:dyDescent="0.3">
      <c r="A60" s="20" t="s">
        <v>91</v>
      </c>
      <c r="B60" s="92"/>
      <c r="C60" s="92">
        <v>30</v>
      </c>
      <c r="D60" s="100"/>
      <c r="E60" s="85">
        <f t="shared" si="0"/>
        <v>20</v>
      </c>
      <c r="F60" s="81"/>
      <c r="G60" s="81"/>
      <c r="H60" s="81"/>
      <c r="I60" s="81"/>
      <c r="J60" s="81"/>
      <c r="K60" s="81"/>
      <c r="L60" s="81"/>
      <c r="M60" s="82">
        <v>1</v>
      </c>
      <c r="N60" s="96">
        <f t="shared" si="1"/>
        <v>20</v>
      </c>
    </row>
    <row r="61" spans="1:14" s="16" customFormat="1" ht="14.45" x14ac:dyDescent="0.3">
      <c r="A61" s="20" t="s">
        <v>92</v>
      </c>
      <c r="B61" s="92"/>
      <c r="C61" s="92">
        <v>45</v>
      </c>
      <c r="D61" s="100"/>
      <c r="E61" s="85">
        <f t="shared" si="0"/>
        <v>30</v>
      </c>
      <c r="F61" s="99"/>
      <c r="G61" s="99"/>
      <c r="H61" s="99"/>
      <c r="I61" s="99"/>
      <c r="J61" s="99"/>
      <c r="K61" s="99"/>
      <c r="L61" s="99"/>
      <c r="M61" s="82"/>
      <c r="N61" s="96"/>
    </row>
    <row r="62" spans="1:14" customFormat="1" ht="15" thickBot="1" x14ac:dyDescent="0.35">
      <c r="A62" s="9"/>
      <c r="B62" s="66"/>
      <c r="C62" s="66"/>
      <c r="D62" s="66"/>
      <c r="E62" s="66"/>
      <c r="F62" s="32"/>
      <c r="G62" s="32"/>
      <c r="H62" s="32"/>
      <c r="I62" s="32"/>
      <c r="J62" s="32"/>
      <c r="K62" s="32"/>
      <c r="L62" s="32"/>
      <c r="M62" s="32"/>
      <c r="N62" s="97">
        <f>SUM(N44:N60)</f>
        <v>2098.333333333333</v>
      </c>
    </row>
    <row r="63" spans="1:14" ht="10.15" x14ac:dyDescent="0.2">
      <c r="G63" s="2"/>
    </row>
    <row r="64" spans="1:14" ht="14.45" x14ac:dyDescent="0.3">
      <c r="A64" s="309" t="s">
        <v>27</v>
      </c>
      <c r="B64" s="309"/>
      <c r="C64" s="309"/>
      <c r="D64" s="309"/>
      <c r="E64" s="309"/>
      <c r="F64" s="310"/>
      <c r="G64" s="35"/>
      <c r="H64" s="35"/>
      <c r="I64" s="35">
        <v>100</v>
      </c>
      <c r="J64" s="35">
        <v>100</v>
      </c>
      <c r="K64" s="35"/>
      <c r="L64" s="35">
        <v>100</v>
      </c>
      <c r="M64" s="35">
        <v>100</v>
      </c>
    </row>
    <row r="65" spans="1:13" ht="13.9" customHeight="1" x14ac:dyDescent="0.2"/>
    <row r="66" spans="1:13" customFormat="1" ht="14.45" x14ac:dyDescent="0.3"/>
    <row r="67" spans="1:13" customFormat="1" ht="43.15" x14ac:dyDescent="0.3">
      <c r="A67" s="28" t="s">
        <v>75</v>
      </c>
      <c r="B67" s="28"/>
      <c r="C67" s="28"/>
      <c r="D67" s="28"/>
      <c r="E67" s="102" t="s">
        <v>95</v>
      </c>
      <c r="F67" s="36" t="s">
        <v>73</v>
      </c>
      <c r="G67" s="36" t="s">
        <v>74</v>
      </c>
      <c r="H67" s="36" t="s">
        <v>28</v>
      </c>
      <c r="I67" s="37" t="s">
        <v>72</v>
      </c>
      <c r="M67" s="2"/>
    </row>
    <row r="68" spans="1:13" ht="14.45" x14ac:dyDescent="0.3">
      <c r="A68" s="33">
        <f>SUM(F5:M62)</f>
        <v>42</v>
      </c>
      <c r="B68" s="33"/>
      <c r="C68" s="33"/>
      <c r="D68" s="33"/>
      <c r="E68" s="61">
        <f>((((($H68/93%)/66.6%)/50%)/50%)/50%)</f>
        <v>258.32283896800027</v>
      </c>
      <c r="F68" s="61">
        <f>(($H68/93%)/66.6%)/50%</f>
        <v>64.580709742000067</v>
      </c>
      <c r="G68" s="61">
        <f>(H68/93%)/66.6%</f>
        <v>32.290354871000034</v>
      </c>
      <c r="H68" s="14">
        <v>20</v>
      </c>
      <c r="I68" s="34">
        <f>A68/H68</f>
        <v>2.1</v>
      </c>
    </row>
    <row r="69" spans="1:13" s="10" customFormat="1" ht="14.45" x14ac:dyDescent="0.3">
      <c r="A69" s="11"/>
      <c r="B69" s="11"/>
      <c r="C69" s="11"/>
      <c r="D69" s="11"/>
      <c r="E69" s="11"/>
      <c r="F69" s="21"/>
      <c r="G69" s="11"/>
    </row>
    <row r="70" spans="1:13" ht="14.45" x14ac:dyDescent="0.3">
      <c r="A70" s="11"/>
      <c r="B70" s="11"/>
      <c r="C70" s="11"/>
      <c r="D70" s="11"/>
      <c r="E70" s="11"/>
      <c r="F70" s="12"/>
      <c r="G70" s="13"/>
      <c r="H70" s="10"/>
    </row>
    <row r="71" spans="1:13" ht="14.45" x14ac:dyDescent="0.3">
      <c r="A71" s="22" t="s">
        <v>22</v>
      </c>
      <c r="B71" s="22"/>
      <c r="C71" s="22"/>
      <c r="D71" s="22"/>
      <c r="E71" s="22"/>
      <c r="F71" s="35">
        <v>3000</v>
      </c>
      <c r="G71" s="19"/>
    </row>
    <row r="72" spans="1:13" ht="14.45" x14ac:dyDescent="0.3">
      <c r="A72" s="22" t="s">
        <v>30</v>
      </c>
      <c r="B72" s="22"/>
      <c r="C72" s="22"/>
      <c r="D72" s="22"/>
      <c r="E72" s="22"/>
      <c r="F72" s="35">
        <v>3000</v>
      </c>
      <c r="G72" s="19"/>
    </row>
    <row r="73" spans="1:13" ht="15" thickBot="1" x14ac:dyDescent="0.35">
      <c r="A73" s="23" t="s">
        <v>29</v>
      </c>
      <c r="B73" s="23"/>
      <c r="C73" s="23"/>
      <c r="D73" s="23"/>
      <c r="E73" s="23"/>
      <c r="F73" s="38">
        <v>45000</v>
      </c>
      <c r="G73" s="19"/>
    </row>
    <row r="74" spans="1:13" ht="15" thickTop="1" x14ac:dyDescent="0.3">
      <c r="A74" s="22"/>
      <c r="B74" s="22"/>
      <c r="C74" s="22"/>
      <c r="D74" s="22"/>
      <c r="E74" s="22"/>
      <c r="F74" s="35">
        <f>SUM(F71:F73)</f>
        <v>51000</v>
      </c>
      <c r="G74" s="19"/>
    </row>
    <row r="75" spans="1:13" ht="14.45" x14ac:dyDescent="0.3">
      <c r="A75" s="17"/>
      <c r="B75" s="17"/>
      <c r="C75" s="17"/>
      <c r="D75" s="17"/>
      <c r="E75" s="17"/>
      <c r="F75" s="18"/>
      <c r="G75" s="19"/>
    </row>
    <row r="76" spans="1:13" ht="14.45" x14ac:dyDescent="0.3">
      <c r="A76" s="17"/>
      <c r="B76" s="17"/>
      <c r="C76" s="17"/>
      <c r="D76" s="17"/>
      <c r="E76" s="17"/>
      <c r="F76" s="19"/>
      <c r="G76" s="39">
        <v>106000</v>
      </c>
    </row>
    <row r="77" spans="1:13" ht="15" thickBot="1" x14ac:dyDescent="0.35">
      <c r="A77" s="19"/>
      <c r="B77" s="19"/>
      <c r="C77" s="19"/>
      <c r="D77" s="19"/>
      <c r="E77" s="19"/>
      <c r="F77" s="19"/>
      <c r="G77" s="40">
        <v>51000</v>
      </c>
    </row>
    <row r="78" spans="1:13" ht="15" thickTop="1" x14ac:dyDescent="0.3">
      <c r="A78" s="19"/>
      <c r="B78" s="19"/>
      <c r="C78" s="19"/>
      <c r="D78" s="19"/>
      <c r="E78" s="19"/>
      <c r="F78" s="29" t="s">
        <v>31</v>
      </c>
      <c r="G78" s="41">
        <f>SUM(G76:G77)</f>
        <v>157000</v>
      </c>
      <c r="H78" s="2">
        <f>157000/40</f>
        <v>3925</v>
      </c>
    </row>
    <row r="79" spans="1:13" ht="14.45" x14ac:dyDescent="0.3">
      <c r="A79" s="19"/>
      <c r="B79" s="19"/>
      <c r="C79" s="19"/>
      <c r="D79" s="19"/>
      <c r="E79" s="19"/>
      <c r="F79" s="19"/>
      <c r="G79" s="17"/>
    </row>
  </sheetData>
  <mergeCells count="23">
    <mergeCell ref="A30:G30"/>
    <mergeCell ref="A64:F64"/>
    <mergeCell ref="A2:A4"/>
    <mergeCell ref="F2:F4"/>
    <mergeCell ref="F24:F25"/>
    <mergeCell ref="G24:G25"/>
    <mergeCell ref="H2:H4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M24:M25"/>
    <mergeCell ref="N24:N25"/>
    <mergeCell ref="H24:H25"/>
    <mergeCell ref="I24:I25"/>
    <mergeCell ref="J24:J25"/>
    <mergeCell ref="K24:K25"/>
    <mergeCell ref="L24:L25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54"/>
  <sheetViews>
    <sheetView tabSelected="1" zoomScale="130" zoomScaleNormal="130" zoomScalePageLayoutView="110" workbookViewId="0">
      <pane xSplit="1" topLeftCell="G1" activePane="topRight" state="frozen"/>
      <selection activeCell="A41" sqref="A41"/>
      <selection pane="topRight" activeCell="A3" sqref="A3"/>
    </sheetView>
  </sheetViews>
  <sheetFormatPr defaultColWidth="11.42578125" defaultRowHeight="11.25" x14ac:dyDescent="0.2"/>
  <cols>
    <col min="1" max="1" width="58" style="105" customWidth="1"/>
    <col min="2" max="4" width="16" style="105" customWidth="1"/>
    <col min="5" max="5" width="11.5703125" style="105" customWidth="1"/>
    <col min="6" max="6" width="12.28515625" style="105" bestFit="1" customWidth="1"/>
    <col min="7" max="7" width="12.28515625" style="106" bestFit="1" customWidth="1"/>
    <col min="8" max="8" width="10.5703125" style="105" bestFit="1" customWidth="1"/>
    <col min="9" max="9" width="10.140625" style="105" bestFit="1" customWidth="1"/>
    <col min="10" max="10" width="12.28515625" style="105" customWidth="1"/>
    <col min="11" max="11" width="10.7109375" style="105" bestFit="1" customWidth="1"/>
    <col min="12" max="12" width="12.42578125" style="105" customWidth="1"/>
    <col min="13" max="13" width="11.28515625" style="105" bestFit="1" customWidth="1"/>
    <col min="14" max="14" width="16" style="105" bestFit="1" customWidth="1"/>
    <col min="15" max="15" width="12.85546875" style="265" customWidth="1"/>
    <col min="16" max="16" width="12.28515625" style="105" bestFit="1" customWidth="1"/>
    <col min="17" max="17" width="20.140625" style="105" bestFit="1" customWidth="1"/>
    <col min="18" max="18" width="24.85546875" style="105" bestFit="1" customWidth="1"/>
    <col min="19" max="19" width="5.28515625" style="105" customWidth="1"/>
    <col min="20" max="16384" width="11.42578125" style="105"/>
  </cols>
  <sheetData>
    <row r="1" spans="1:19" ht="30.6" thickBot="1" x14ac:dyDescent="0.4">
      <c r="A1" s="103" t="s">
        <v>180</v>
      </c>
      <c r="B1" s="152" t="s">
        <v>98</v>
      </c>
      <c r="C1" s="151" t="s">
        <v>73</v>
      </c>
      <c r="D1" s="151" t="s">
        <v>74</v>
      </c>
      <c r="F1" s="148"/>
      <c r="G1" s="148"/>
      <c r="H1" s="148"/>
      <c r="I1" s="148"/>
      <c r="J1" s="148"/>
      <c r="K1" s="148"/>
      <c r="L1" s="148"/>
      <c r="M1" s="148"/>
    </row>
    <row r="2" spans="1:19" ht="30.6" customHeight="1" thickTop="1" thickBot="1" x14ac:dyDescent="0.55000000000000004">
      <c r="A2" s="103" t="s">
        <v>181</v>
      </c>
      <c r="B2" s="200">
        <v>20</v>
      </c>
      <c r="C2" s="150">
        <f>ROUND(((($B2/93%)/66.6%)/50%),0)</f>
        <v>65</v>
      </c>
      <c r="D2" s="150">
        <f>ROUND(((B2/93%)/66.6%),0)</f>
        <v>32</v>
      </c>
      <c r="G2" s="253"/>
      <c r="H2" s="104"/>
    </row>
    <row r="3" spans="1:19" ht="12.75" thickTop="1" thickBot="1" x14ac:dyDescent="0.25"/>
    <row r="4" spans="1:19" s="112" customFormat="1" ht="75" x14ac:dyDescent="0.25">
      <c r="A4" s="107"/>
      <c r="B4" s="108" t="s">
        <v>131</v>
      </c>
      <c r="C4" s="108" t="s">
        <v>132</v>
      </c>
      <c r="D4" s="108" t="s">
        <v>133</v>
      </c>
      <c r="E4" s="108" t="s">
        <v>85</v>
      </c>
      <c r="F4" s="109" t="s">
        <v>33</v>
      </c>
      <c r="G4" s="109" t="s">
        <v>1</v>
      </c>
      <c r="H4" s="109" t="s">
        <v>88</v>
      </c>
      <c r="I4" s="109" t="s">
        <v>17</v>
      </c>
      <c r="J4" s="109" t="s">
        <v>18</v>
      </c>
      <c r="K4" s="109" t="s">
        <v>89</v>
      </c>
      <c r="L4" s="109" t="s">
        <v>19</v>
      </c>
      <c r="M4" s="110" t="s">
        <v>20</v>
      </c>
      <c r="N4" s="109" t="s">
        <v>83</v>
      </c>
      <c r="O4" s="311" t="s">
        <v>143</v>
      </c>
      <c r="P4" s="312"/>
      <c r="Q4" s="109" t="s">
        <v>137</v>
      </c>
      <c r="R4" s="180" t="s">
        <v>31</v>
      </c>
    </row>
    <row r="5" spans="1:19" s="118" customFormat="1" ht="15.75" thickBot="1" x14ac:dyDescent="0.3">
      <c r="A5" s="113" t="s">
        <v>134</v>
      </c>
      <c r="B5" s="251">
        <v>500000</v>
      </c>
      <c r="C5" s="252">
        <v>100000</v>
      </c>
      <c r="D5" s="252">
        <v>70000</v>
      </c>
      <c r="E5" s="114"/>
      <c r="F5" s="297"/>
      <c r="G5" s="297"/>
      <c r="H5" s="297"/>
      <c r="I5" s="297"/>
      <c r="J5" s="297"/>
      <c r="K5" s="297"/>
      <c r="L5" s="297"/>
      <c r="M5" s="297"/>
      <c r="N5" s="316"/>
      <c r="O5" s="313" t="s">
        <v>144</v>
      </c>
      <c r="P5" s="315" t="s">
        <v>83</v>
      </c>
      <c r="Q5" s="275"/>
      <c r="R5" s="116"/>
    </row>
    <row r="6" spans="1:19" s="118" customFormat="1" ht="20.25" thickTop="1" thickBot="1" x14ac:dyDescent="0.35">
      <c r="A6" s="113" t="s">
        <v>135</v>
      </c>
      <c r="B6" s="208">
        <f>B5/2000</f>
        <v>250</v>
      </c>
      <c r="C6" s="208">
        <f t="shared" ref="C6:D6" si="0">C5/2000</f>
        <v>50</v>
      </c>
      <c r="D6" s="208">
        <f t="shared" si="0"/>
        <v>35</v>
      </c>
      <c r="E6" s="114"/>
      <c r="F6" s="297"/>
      <c r="G6" s="297"/>
      <c r="H6" s="297"/>
      <c r="I6" s="297"/>
      <c r="J6" s="297"/>
      <c r="K6" s="297"/>
      <c r="L6" s="297"/>
      <c r="M6" s="297"/>
      <c r="N6" s="317"/>
      <c r="O6" s="314"/>
      <c r="P6" s="315"/>
      <c r="Q6" s="276">
        <v>0.32</v>
      </c>
      <c r="R6" s="181"/>
    </row>
    <row r="7" spans="1:19" s="120" customFormat="1" ht="15.75" thickTop="1" x14ac:dyDescent="0.25">
      <c r="A7" s="201" t="s">
        <v>81</v>
      </c>
      <c r="B7" s="248">
        <v>20</v>
      </c>
      <c r="C7" s="248">
        <v>60</v>
      </c>
      <c r="D7" s="248"/>
      <c r="E7" s="171">
        <f>((($B$6/60)*$B7)+(($C$6/60)*$C7)+(($D$6/60)*$D7))</f>
        <v>133.33333333333334</v>
      </c>
      <c r="F7" s="262">
        <f>E7</f>
        <v>133.33333333333334</v>
      </c>
      <c r="G7" s="153"/>
      <c r="H7" s="153"/>
      <c r="I7" s="153"/>
      <c r="J7" s="153"/>
      <c r="K7" s="153"/>
      <c r="L7" s="153"/>
      <c r="M7" s="154"/>
      <c r="N7" s="168">
        <f>SUM($F7:$M7)</f>
        <v>133.33333333333334</v>
      </c>
      <c r="O7" s="266">
        <f>$C$2</f>
        <v>65</v>
      </c>
      <c r="P7" s="169">
        <f>O7*N7</f>
        <v>8666.6666666666679</v>
      </c>
      <c r="Q7" s="169">
        <f>$Q$6*P7</f>
        <v>2773.3333333333339</v>
      </c>
      <c r="R7" s="182">
        <f>SUM(P7:Q7)</f>
        <v>11440.000000000002</v>
      </c>
      <c r="S7" s="179"/>
    </row>
    <row r="8" spans="1:19" s="120" customFormat="1" ht="15" x14ac:dyDescent="0.25">
      <c r="A8" s="201" t="s">
        <v>105</v>
      </c>
      <c r="B8" s="248">
        <v>15</v>
      </c>
      <c r="C8" s="248">
        <v>60</v>
      </c>
      <c r="D8" s="248"/>
      <c r="E8" s="171">
        <f>((($B$6/60)*$B8)+(($C$6/60)*$C8)+(($D$6/60)*$D8))</f>
        <v>112.5</v>
      </c>
      <c r="F8" s="262">
        <f>E8</f>
        <v>112.5</v>
      </c>
      <c r="G8" s="153"/>
      <c r="H8" s="153"/>
      <c r="I8" s="153"/>
      <c r="J8" s="153"/>
      <c r="K8" s="153"/>
      <c r="L8" s="153"/>
      <c r="M8" s="154"/>
      <c r="N8" s="168">
        <f t="shared" ref="N8:N29" si="1">SUM($F8:$M8)</f>
        <v>112.5</v>
      </c>
      <c r="O8" s="266">
        <f>$C$2</f>
        <v>65</v>
      </c>
      <c r="P8" s="168">
        <f t="shared" ref="P8:P29" si="2">O8*N8</f>
        <v>7312.5</v>
      </c>
      <c r="Q8" s="168">
        <f t="shared" ref="Q8:Q29" si="3">$Q$6*P8</f>
        <v>2340</v>
      </c>
      <c r="R8" s="182">
        <f t="shared" ref="R8:R29" si="4">SUM(P8:Q8)</f>
        <v>9652.5</v>
      </c>
      <c r="S8" s="179"/>
    </row>
    <row r="9" spans="1:19" s="112" customFormat="1" ht="15" x14ac:dyDescent="0.25">
      <c r="A9" s="202" t="s">
        <v>76</v>
      </c>
      <c r="B9" s="248"/>
      <c r="C9" s="248">
        <v>90</v>
      </c>
      <c r="D9" s="248"/>
      <c r="E9" s="171">
        <f>(((B$6/60)*B9)+((C$6/60)*C9)+((D$6/60)*D9))</f>
        <v>75</v>
      </c>
      <c r="F9" s="262">
        <f>E9</f>
        <v>75</v>
      </c>
      <c r="G9" s="156"/>
      <c r="H9" s="156"/>
      <c r="I9" s="156"/>
      <c r="J9" s="157"/>
      <c r="K9" s="157"/>
      <c r="L9" s="157"/>
      <c r="M9" s="158"/>
      <c r="N9" s="168">
        <f t="shared" si="1"/>
        <v>75</v>
      </c>
      <c r="O9" s="266">
        <f>$C$2</f>
        <v>65</v>
      </c>
      <c r="P9" s="168">
        <f t="shared" si="2"/>
        <v>4875</v>
      </c>
      <c r="Q9" s="277">
        <f t="shared" si="3"/>
        <v>1560</v>
      </c>
      <c r="R9" s="182">
        <f t="shared" si="4"/>
        <v>6435</v>
      </c>
      <c r="S9" s="179"/>
    </row>
    <row r="10" spans="1:19" s="112" customFormat="1" ht="15.75" thickBot="1" x14ac:dyDescent="0.3">
      <c r="A10" s="203" t="s">
        <v>106</v>
      </c>
      <c r="B10" s="249"/>
      <c r="C10" s="249">
        <v>90</v>
      </c>
      <c r="D10" s="249"/>
      <c r="E10" s="172">
        <f t="shared" ref="E10:E27" si="5">((B$6/60)*B10)+((C$6/60)*C10)+((D$6/60)*D10)</f>
        <v>75</v>
      </c>
      <c r="F10" s="263">
        <f>E10</f>
        <v>75</v>
      </c>
      <c r="G10" s="159"/>
      <c r="H10" s="159"/>
      <c r="I10" s="159"/>
      <c r="J10" s="160"/>
      <c r="K10" s="160"/>
      <c r="L10" s="160"/>
      <c r="M10" s="161"/>
      <c r="N10" s="170">
        <f t="shared" si="1"/>
        <v>75</v>
      </c>
      <c r="O10" s="268">
        <f>$D$2</f>
        <v>32</v>
      </c>
      <c r="P10" s="170">
        <f t="shared" si="2"/>
        <v>2400</v>
      </c>
      <c r="Q10" s="170">
        <f t="shared" si="3"/>
        <v>768</v>
      </c>
      <c r="R10" s="183">
        <f t="shared" si="4"/>
        <v>3168</v>
      </c>
      <c r="S10" s="179"/>
    </row>
    <row r="11" spans="1:19" s="112" customFormat="1" ht="15" x14ac:dyDescent="0.25">
      <c r="A11" s="204" t="s">
        <v>23</v>
      </c>
      <c r="B11" s="250">
        <v>30</v>
      </c>
      <c r="C11" s="250">
        <v>30</v>
      </c>
      <c r="D11" s="250"/>
      <c r="E11" s="171">
        <f t="shared" si="5"/>
        <v>150</v>
      </c>
      <c r="F11" s="162"/>
      <c r="G11" s="261">
        <f t="shared" ref="G11:G21" si="6">$E11</f>
        <v>150</v>
      </c>
      <c r="H11" s="162"/>
      <c r="I11" s="162"/>
      <c r="J11" s="262">
        <f>$E11</f>
        <v>150</v>
      </c>
      <c r="K11" s="162"/>
      <c r="L11" s="262">
        <f>$E11</f>
        <v>150</v>
      </c>
      <c r="M11" s="262">
        <f t="shared" ref="M11:M18" si="7">$E11</f>
        <v>150</v>
      </c>
      <c r="N11" s="169">
        <f t="shared" si="1"/>
        <v>600</v>
      </c>
      <c r="O11" s="266">
        <f>$B$2</f>
        <v>20</v>
      </c>
      <c r="P11" s="169">
        <f t="shared" si="2"/>
        <v>12000</v>
      </c>
      <c r="Q11" s="169">
        <f t="shared" si="3"/>
        <v>3840</v>
      </c>
      <c r="R11" s="184">
        <f t="shared" si="4"/>
        <v>15840</v>
      </c>
      <c r="S11" s="121"/>
    </row>
    <row r="12" spans="1:19" s="112" customFormat="1" ht="15" x14ac:dyDescent="0.25">
      <c r="A12" s="205" t="s">
        <v>93</v>
      </c>
      <c r="B12" s="248">
        <v>15</v>
      </c>
      <c r="C12" s="248"/>
      <c r="D12" s="248"/>
      <c r="E12" s="171">
        <f t="shared" si="5"/>
        <v>62.500000000000007</v>
      </c>
      <c r="F12" s="156"/>
      <c r="G12" s="262">
        <f t="shared" si="6"/>
        <v>62.500000000000007</v>
      </c>
      <c r="H12" s="163"/>
      <c r="I12" s="163"/>
      <c r="J12" s="163"/>
      <c r="K12" s="156"/>
      <c r="L12" s="163"/>
      <c r="M12" s="262">
        <f t="shared" si="7"/>
        <v>62.500000000000007</v>
      </c>
      <c r="N12" s="168">
        <f t="shared" si="1"/>
        <v>125.00000000000001</v>
      </c>
      <c r="O12" s="267">
        <f t="shared" ref="O12:O18" si="8">$B$2</f>
        <v>20</v>
      </c>
      <c r="P12" s="168">
        <f t="shared" si="2"/>
        <v>2500.0000000000005</v>
      </c>
      <c r="Q12" s="168">
        <f t="shared" si="3"/>
        <v>800.00000000000011</v>
      </c>
      <c r="R12" s="182">
        <f t="shared" si="4"/>
        <v>3300.0000000000005</v>
      </c>
      <c r="S12" s="121"/>
    </row>
    <row r="13" spans="1:19" s="112" customFormat="1" ht="15" x14ac:dyDescent="0.25">
      <c r="A13" s="202" t="s">
        <v>147</v>
      </c>
      <c r="B13" s="248"/>
      <c r="C13" s="248">
        <v>45</v>
      </c>
      <c r="D13" s="248"/>
      <c r="E13" s="171">
        <f t="shared" si="5"/>
        <v>37.5</v>
      </c>
      <c r="F13" s="156"/>
      <c r="G13" s="262">
        <f t="shared" si="6"/>
        <v>37.5</v>
      </c>
      <c r="H13" s="156"/>
      <c r="I13" s="156"/>
      <c r="J13" s="156"/>
      <c r="K13" s="156"/>
      <c r="L13" s="262">
        <f t="shared" ref="L13" si="9">$E13</f>
        <v>37.5</v>
      </c>
      <c r="M13" s="262">
        <f t="shared" si="7"/>
        <v>37.5</v>
      </c>
      <c r="N13" s="168">
        <f t="shared" si="1"/>
        <v>112.5</v>
      </c>
      <c r="O13" s="267">
        <f t="shared" si="8"/>
        <v>20</v>
      </c>
      <c r="P13" s="168">
        <f t="shared" si="2"/>
        <v>2250</v>
      </c>
      <c r="Q13" s="168">
        <f t="shared" si="3"/>
        <v>720</v>
      </c>
      <c r="R13" s="182">
        <f t="shared" si="4"/>
        <v>2970</v>
      </c>
      <c r="S13" s="121"/>
    </row>
    <row r="14" spans="1:19" s="112" customFormat="1" ht="15" x14ac:dyDescent="0.25">
      <c r="A14" s="188" t="s">
        <v>148</v>
      </c>
      <c r="B14" s="248"/>
      <c r="C14" s="248">
        <v>30</v>
      </c>
      <c r="D14" s="248"/>
      <c r="E14" s="171">
        <f t="shared" si="5"/>
        <v>25</v>
      </c>
      <c r="F14" s="156"/>
      <c r="G14" s="262">
        <f t="shared" si="6"/>
        <v>25</v>
      </c>
      <c r="H14" s="156"/>
      <c r="I14" s="156"/>
      <c r="J14" s="156"/>
      <c r="K14" s="156"/>
      <c r="L14" s="262"/>
      <c r="M14" s="262">
        <f t="shared" si="7"/>
        <v>25</v>
      </c>
      <c r="N14" s="168">
        <f t="shared" si="1"/>
        <v>50</v>
      </c>
      <c r="O14" s="267">
        <f t="shared" si="8"/>
        <v>20</v>
      </c>
      <c r="P14" s="168">
        <f t="shared" ref="P14:P16" si="10">O14*N14</f>
        <v>1000</v>
      </c>
      <c r="Q14" s="168">
        <f t="shared" si="3"/>
        <v>320</v>
      </c>
      <c r="R14" s="182">
        <f t="shared" si="4"/>
        <v>1320</v>
      </c>
      <c r="S14" s="121"/>
    </row>
    <row r="15" spans="1:19" s="112" customFormat="1" ht="15" x14ac:dyDescent="0.25">
      <c r="A15" s="188" t="s">
        <v>149</v>
      </c>
      <c r="B15" s="274" t="s">
        <v>101</v>
      </c>
      <c r="C15" s="274" t="s">
        <v>101</v>
      </c>
      <c r="D15" s="274" t="s">
        <v>101</v>
      </c>
      <c r="E15" s="171">
        <v>100</v>
      </c>
      <c r="F15" s="156"/>
      <c r="G15" s="262">
        <f t="shared" si="6"/>
        <v>100</v>
      </c>
      <c r="H15" s="156"/>
      <c r="I15" s="156"/>
      <c r="J15" s="156"/>
      <c r="K15" s="156"/>
      <c r="L15" s="262"/>
      <c r="M15" s="262">
        <f t="shared" si="7"/>
        <v>100</v>
      </c>
      <c r="N15" s="168">
        <f t="shared" si="1"/>
        <v>200</v>
      </c>
      <c r="O15" s="267">
        <f t="shared" si="8"/>
        <v>20</v>
      </c>
      <c r="P15" s="168">
        <f t="shared" si="10"/>
        <v>4000</v>
      </c>
      <c r="Q15" s="168">
        <f t="shared" si="3"/>
        <v>1280</v>
      </c>
      <c r="R15" s="182">
        <f t="shared" si="4"/>
        <v>5280</v>
      </c>
      <c r="S15" s="121"/>
    </row>
    <row r="16" spans="1:19" s="112" customFormat="1" ht="15" x14ac:dyDescent="0.25">
      <c r="A16" s="188" t="s">
        <v>150</v>
      </c>
      <c r="B16" s="274"/>
      <c r="C16" s="274">
        <v>30</v>
      </c>
      <c r="D16" s="274">
        <v>30</v>
      </c>
      <c r="E16" s="171">
        <f t="shared" si="5"/>
        <v>42.5</v>
      </c>
      <c r="F16" s="156"/>
      <c r="G16" s="262">
        <f t="shared" si="6"/>
        <v>42.5</v>
      </c>
      <c r="H16" s="156"/>
      <c r="I16" s="156"/>
      <c r="J16" s="156"/>
      <c r="K16" s="156"/>
      <c r="L16" s="262"/>
      <c r="M16" s="262">
        <f t="shared" si="7"/>
        <v>42.5</v>
      </c>
      <c r="N16" s="168">
        <f t="shared" si="1"/>
        <v>85</v>
      </c>
      <c r="O16" s="267">
        <f t="shared" si="8"/>
        <v>20</v>
      </c>
      <c r="P16" s="168">
        <f t="shared" si="10"/>
        <v>1700</v>
      </c>
      <c r="Q16" s="168">
        <f t="shared" si="3"/>
        <v>544</v>
      </c>
      <c r="R16" s="182">
        <f t="shared" si="4"/>
        <v>2244</v>
      </c>
      <c r="S16" s="121"/>
    </row>
    <row r="17" spans="1:19" s="112" customFormat="1" ht="15" x14ac:dyDescent="0.25">
      <c r="A17" s="188" t="s">
        <v>151</v>
      </c>
      <c r="B17" s="274" t="s">
        <v>101</v>
      </c>
      <c r="C17" s="274" t="s">
        <v>101</v>
      </c>
      <c r="D17" s="274" t="s">
        <v>101</v>
      </c>
      <c r="E17" s="119">
        <v>850</v>
      </c>
      <c r="F17" s="173"/>
      <c r="G17" s="262">
        <f>$E17</f>
        <v>850</v>
      </c>
      <c r="H17" s="156"/>
      <c r="I17" s="156"/>
      <c r="J17" s="156"/>
      <c r="K17" s="156"/>
      <c r="L17" s="156"/>
      <c r="M17" s="262">
        <f>$E17</f>
        <v>850</v>
      </c>
      <c r="N17" s="168">
        <f>SUM($F17:$M17)</f>
        <v>1700</v>
      </c>
      <c r="O17" s="267">
        <f t="shared" ref="O17" si="11">$B$2</f>
        <v>20</v>
      </c>
      <c r="P17" s="168">
        <f>O17*N17</f>
        <v>34000</v>
      </c>
      <c r="Q17" s="168">
        <f>$Q$6*P17</f>
        <v>10880</v>
      </c>
      <c r="R17" s="182">
        <f t="shared" si="4"/>
        <v>44880</v>
      </c>
    </row>
    <row r="18" spans="1:19" s="112" customFormat="1" ht="15" x14ac:dyDescent="0.25">
      <c r="A18" s="202" t="s">
        <v>86</v>
      </c>
      <c r="B18" s="248"/>
      <c r="C18" s="248">
        <v>30</v>
      </c>
      <c r="D18" s="248"/>
      <c r="E18" s="171">
        <f t="shared" si="5"/>
        <v>25</v>
      </c>
      <c r="F18" s="156"/>
      <c r="G18" s="262">
        <f t="shared" si="6"/>
        <v>25</v>
      </c>
      <c r="H18" s="156"/>
      <c r="I18" s="156"/>
      <c r="J18" s="262">
        <f>$E18</f>
        <v>25</v>
      </c>
      <c r="K18" s="156"/>
      <c r="L18" s="156"/>
      <c r="M18" s="262">
        <f t="shared" si="7"/>
        <v>25</v>
      </c>
      <c r="N18" s="168">
        <f t="shared" si="1"/>
        <v>75</v>
      </c>
      <c r="O18" s="267">
        <f t="shared" si="8"/>
        <v>20</v>
      </c>
      <c r="P18" s="168">
        <f t="shared" si="2"/>
        <v>1500</v>
      </c>
      <c r="Q18" s="168">
        <f t="shared" si="3"/>
        <v>480</v>
      </c>
      <c r="R18" s="182">
        <f t="shared" si="4"/>
        <v>1980</v>
      </c>
      <c r="S18" s="121"/>
    </row>
    <row r="19" spans="1:19" s="112" customFormat="1" ht="15" x14ac:dyDescent="0.25">
      <c r="A19" s="202" t="s">
        <v>99</v>
      </c>
      <c r="B19" s="248"/>
      <c r="C19" s="248">
        <v>60</v>
      </c>
      <c r="D19" s="248"/>
      <c r="E19" s="171">
        <f t="shared" si="5"/>
        <v>50</v>
      </c>
      <c r="F19" s="156"/>
      <c r="G19" s="262">
        <f t="shared" si="6"/>
        <v>50</v>
      </c>
      <c r="H19" s="156"/>
      <c r="I19" s="156"/>
      <c r="J19" s="262"/>
      <c r="K19" s="156"/>
      <c r="L19" s="156"/>
      <c r="M19" s="262"/>
      <c r="N19" s="168">
        <f t="shared" si="1"/>
        <v>50</v>
      </c>
      <c r="O19" s="267">
        <v>10</v>
      </c>
      <c r="P19" s="168">
        <f t="shared" si="2"/>
        <v>500</v>
      </c>
      <c r="Q19" s="168">
        <f t="shared" si="3"/>
        <v>160</v>
      </c>
      <c r="R19" s="182">
        <f t="shared" si="4"/>
        <v>660</v>
      </c>
      <c r="S19" s="121"/>
    </row>
    <row r="20" spans="1:19" s="112" customFormat="1" ht="15" x14ac:dyDescent="0.25">
      <c r="A20" s="206" t="s">
        <v>24</v>
      </c>
      <c r="B20" s="248"/>
      <c r="C20" s="248">
        <v>120</v>
      </c>
      <c r="D20" s="248"/>
      <c r="E20" s="171">
        <f t="shared" si="5"/>
        <v>100</v>
      </c>
      <c r="F20" s="163"/>
      <c r="G20" s="262">
        <f t="shared" si="6"/>
        <v>100</v>
      </c>
      <c r="H20" s="163"/>
      <c r="I20" s="163"/>
      <c r="J20" s="163"/>
      <c r="K20" s="163"/>
      <c r="L20" s="262">
        <f t="shared" ref="L20:M29" si="12">$E20</f>
        <v>100</v>
      </c>
      <c r="M20" s="262">
        <f t="shared" si="12"/>
        <v>100</v>
      </c>
      <c r="N20" s="168">
        <f t="shared" si="1"/>
        <v>300</v>
      </c>
      <c r="O20" s="267">
        <f t="shared" ref="O20:O29" si="13">$B$2</f>
        <v>20</v>
      </c>
      <c r="P20" s="168">
        <f t="shared" si="2"/>
        <v>6000</v>
      </c>
      <c r="Q20" s="168">
        <f t="shared" si="3"/>
        <v>1920</v>
      </c>
      <c r="R20" s="182">
        <f t="shared" si="4"/>
        <v>7920</v>
      </c>
      <c r="S20" s="121"/>
    </row>
    <row r="21" spans="1:19" s="112" customFormat="1" ht="14.45" x14ac:dyDescent="0.35">
      <c r="A21" s="206" t="s">
        <v>25</v>
      </c>
      <c r="B21" s="248">
        <v>15</v>
      </c>
      <c r="C21" s="248">
        <v>60</v>
      </c>
      <c r="D21" s="248"/>
      <c r="E21" s="171">
        <f t="shared" si="5"/>
        <v>112.5</v>
      </c>
      <c r="F21" s="155"/>
      <c r="G21" s="262">
        <f t="shared" si="6"/>
        <v>112.5</v>
      </c>
      <c r="H21" s="262">
        <f>$E21</f>
        <v>112.5</v>
      </c>
      <c r="I21" s="262">
        <f t="shared" ref="I21:K25" si="14">$E21</f>
        <v>112.5</v>
      </c>
      <c r="J21" s="262">
        <f t="shared" si="14"/>
        <v>112.5</v>
      </c>
      <c r="K21" s="262">
        <f t="shared" si="14"/>
        <v>112.5</v>
      </c>
      <c r="L21" s="262">
        <f t="shared" si="12"/>
        <v>112.5</v>
      </c>
      <c r="M21" s="262">
        <f t="shared" si="12"/>
        <v>112.5</v>
      </c>
      <c r="N21" s="168">
        <f t="shared" si="1"/>
        <v>787.5</v>
      </c>
      <c r="O21" s="267">
        <f t="shared" si="13"/>
        <v>20</v>
      </c>
      <c r="P21" s="168">
        <f t="shared" si="2"/>
        <v>15750</v>
      </c>
      <c r="Q21" s="168">
        <f t="shared" si="3"/>
        <v>5040</v>
      </c>
      <c r="R21" s="182">
        <f t="shared" si="4"/>
        <v>20790</v>
      </c>
      <c r="S21" s="121"/>
    </row>
    <row r="22" spans="1:19" s="112" customFormat="1" ht="14.45" x14ac:dyDescent="0.35">
      <c r="A22" s="206" t="s">
        <v>87</v>
      </c>
      <c r="B22" s="248">
        <v>15</v>
      </c>
      <c r="C22" s="248">
        <v>60</v>
      </c>
      <c r="D22" s="248"/>
      <c r="E22" s="171">
        <f t="shared" si="5"/>
        <v>112.5</v>
      </c>
      <c r="F22" s="163"/>
      <c r="G22" s="163"/>
      <c r="H22" s="262">
        <f t="shared" ref="H22:H23" si="15">$E22</f>
        <v>112.5</v>
      </c>
      <c r="I22" s="262">
        <f t="shared" si="14"/>
        <v>112.5</v>
      </c>
      <c r="J22" s="262">
        <f t="shared" si="14"/>
        <v>112.5</v>
      </c>
      <c r="K22" s="262">
        <f t="shared" si="14"/>
        <v>112.5</v>
      </c>
      <c r="L22" s="262">
        <f t="shared" si="12"/>
        <v>112.5</v>
      </c>
      <c r="M22" s="262">
        <f t="shared" si="12"/>
        <v>112.5</v>
      </c>
      <c r="N22" s="168">
        <f t="shared" si="1"/>
        <v>675</v>
      </c>
      <c r="O22" s="267">
        <f t="shared" si="13"/>
        <v>20</v>
      </c>
      <c r="P22" s="168">
        <f t="shared" si="2"/>
        <v>13500</v>
      </c>
      <c r="Q22" s="168">
        <f t="shared" si="3"/>
        <v>4320</v>
      </c>
      <c r="R22" s="182">
        <f t="shared" si="4"/>
        <v>17820</v>
      </c>
      <c r="S22" s="121"/>
    </row>
    <row r="23" spans="1:19" s="112" customFormat="1" ht="15" x14ac:dyDescent="0.25">
      <c r="A23" s="206" t="s">
        <v>103</v>
      </c>
      <c r="B23" s="248"/>
      <c r="C23" s="248">
        <v>30</v>
      </c>
      <c r="D23" s="248"/>
      <c r="E23" s="171">
        <f t="shared" si="5"/>
        <v>25</v>
      </c>
      <c r="F23" s="163"/>
      <c r="G23" s="262">
        <f>E23</f>
        <v>25</v>
      </c>
      <c r="H23" s="262">
        <f t="shared" si="15"/>
        <v>25</v>
      </c>
      <c r="I23" s="262">
        <f t="shared" si="14"/>
        <v>25</v>
      </c>
      <c r="J23" s="262">
        <f t="shared" si="14"/>
        <v>25</v>
      </c>
      <c r="K23" s="262">
        <f t="shared" si="14"/>
        <v>25</v>
      </c>
      <c r="L23" s="262">
        <f t="shared" si="12"/>
        <v>25</v>
      </c>
      <c r="M23" s="262">
        <f t="shared" si="12"/>
        <v>25</v>
      </c>
      <c r="N23" s="168">
        <f t="shared" si="1"/>
        <v>175</v>
      </c>
      <c r="O23" s="267">
        <f t="shared" si="13"/>
        <v>20</v>
      </c>
      <c r="P23" s="168">
        <f t="shared" si="2"/>
        <v>3500</v>
      </c>
      <c r="Q23" s="168">
        <f t="shared" si="3"/>
        <v>1120</v>
      </c>
      <c r="R23" s="182">
        <f t="shared" si="4"/>
        <v>4620</v>
      </c>
      <c r="S23" s="121"/>
    </row>
    <row r="24" spans="1:19" s="112" customFormat="1" ht="15" x14ac:dyDescent="0.25">
      <c r="A24" s="202" t="s">
        <v>77</v>
      </c>
      <c r="B24" s="248"/>
      <c r="C24" s="248">
        <v>30</v>
      </c>
      <c r="D24" s="248"/>
      <c r="E24" s="171">
        <f t="shared" si="5"/>
        <v>25</v>
      </c>
      <c r="F24" s="156"/>
      <c r="G24" s="262"/>
      <c r="H24" s="156"/>
      <c r="I24" s="156"/>
      <c r="J24" s="262">
        <f t="shared" si="14"/>
        <v>25</v>
      </c>
      <c r="K24" s="156"/>
      <c r="L24" s="262">
        <f t="shared" si="12"/>
        <v>25</v>
      </c>
      <c r="M24" s="262">
        <f t="shared" si="12"/>
        <v>25</v>
      </c>
      <c r="N24" s="168">
        <f t="shared" si="1"/>
        <v>75</v>
      </c>
      <c r="O24" s="267">
        <v>10</v>
      </c>
      <c r="P24" s="168">
        <f t="shared" si="2"/>
        <v>750</v>
      </c>
      <c r="Q24" s="168">
        <f t="shared" si="3"/>
        <v>240</v>
      </c>
      <c r="R24" s="182">
        <f t="shared" si="4"/>
        <v>990</v>
      </c>
      <c r="S24" s="121"/>
    </row>
    <row r="25" spans="1:19" s="124" customFormat="1" ht="15" x14ac:dyDescent="0.25">
      <c r="A25" s="202" t="s">
        <v>26</v>
      </c>
      <c r="B25" s="248"/>
      <c r="C25" s="248">
        <v>30</v>
      </c>
      <c r="D25" s="248"/>
      <c r="E25" s="171">
        <f t="shared" si="5"/>
        <v>25</v>
      </c>
      <c r="F25" s="156"/>
      <c r="G25" s="262"/>
      <c r="H25" s="156"/>
      <c r="I25" s="262">
        <f>$E25</f>
        <v>25</v>
      </c>
      <c r="J25" s="262">
        <f t="shared" si="14"/>
        <v>25</v>
      </c>
      <c r="K25" s="156"/>
      <c r="L25" s="262">
        <f t="shared" si="12"/>
        <v>25</v>
      </c>
      <c r="M25" s="262">
        <f t="shared" si="12"/>
        <v>25</v>
      </c>
      <c r="N25" s="168">
        <f t="shared" si="1"/>
        <v>100</v>
      </c>
      <c r="O25" s="267">
        <v>10</v>
      </c>
      <c r="P25" s="168">
        <f t="shared" si="2"/>
        <v>1000</v>
      </c>
      <c r="Q25" s="168">
        <f t="shared" si="3"/>
        <v>320</v>
      </c>
      <c r="R25" s="182">
        <f t="shared" si="4"/>
        <v>1320</v>
      </c>
      <c r="S25" s="121"/>
    </row>
    <row r="26" spans="1:19" s="124" customFormat="1" ht="15" x14ac:dyDescent="0.25">
      <c r="A26" s="207" t="s">
        <v>91</v>
      </c>
      <c r="B26" s="248"/>
      <c r="C26" s="248">
        <v>45</v>
      </c>
      <c r="D26" s="248"/>
      <c r="E26" s="171">
        <f>((B$6/60)*B26)+((C$6/60)*C26)+((D$6/60)*D26)</f>
        <v>37.5</v>
      </c>
      <c r="F26" s="165"/>
      <c r="G26" s="165"/>
      <c r="H26" s="165"/>
      <c r="I26" s="165"/>
      <c r="J26" s="165"/>
      <c r="K26" s="165"/>
      <c r="L26" s="165"/>
      <c r="M26" s="262">
        <f t="shared" si="12"/>
        <v>37.5</v>
      </c>
      <c r="N26" s="168">
        <f t="shared" si="1"/>
        <v>37.5</v>
      </c>
      <c r="O26" s="301">
        <v>45</v>
      </c>
      <c r="P26" s="168">
        <f t="shared" si="2"/>
        <v>1687.5</v>
      </c>
      <c r="Q26" s="168">
        <f t="shared" si="3"/>
        <v>540</v>
      </c>
      <c r="R26" s="182">
        <f>SUM(P26:Q26)</f>
        <v>2227.5</v>
      </c>
      <c r="S26" s="121"/>
    </row>
    <row r="27" spans="1:19" s="124" customFormat="1" ht="15" x14ac:dyDescent="0.25">
      <c r="A27" s="207" t="s">
        <v>92</v>
      </c>
      <c r="B27" s="248"/>
      <c r="C27" s="248">
        <v>60</v>
      </c>
      <c r="D27" s="248"/>
      <c r="E27" s="171">
        <f t="shared" si="5"/>
        <v>50</v>
      </c>
      <c r="F27" s="166"/>
      <c r="G27" s="166"/>
      <c r="H27" s="262">
        <f>$E27</f>
        <v>50</v>
      </c>
      <c r="I27" s="262">
        <f t="shared" ref="I27:J29" si="16">$E27</f>
        <v>50</v>
      </c>
      <c r="J27" s="262">
        <f t="shared" si="16"/>
        <v>50</v>
      </c>
      <c r="K27" s="262">
        <f>$E27</f>
        <v>50</v>
      </c>
      <c r="L27" s="262">
        <f t="shared" ref="L27:L29" si="17">$E27</f>
        <v>50</v>
      </c>
      <c r="M27" s="262">
        <f t="shared" si="12"/>
        <v>50</v>
      </c>
      <c r="N27" s="168">
        <f t="shared" si="1"/>
        <v>300</v>
      </c>
      <c r="O27" s="267">
        <f t="shared" si="13"/>
        <v>20</v>
      </c>
      <c r="P27" s="168">
        <f t="shared" si="2"/>
        <v>6000</v>
      </c>
      <c r="Q27" s="168">
        <f t="shared" si="3"/>
        <v>1920</v>
      </c>
      <c r="R27" s="182">
        <f t="shared" si="4"/>
        <v>7920</v>
      </c>
      <c r="S27" s="121"/>
    </row>
    <row r="28" spans="1:19" ht="15" x14ac:dyDescent="0.25">
      <c r="A28" s="189" t="s">
        <v>130</v>
      </c>
      <c r="B28" s="274" t="s">
        <v>101</v>
      </c>
      <c r="C28" s="274" t="s">
        <v>101</v>
      </c>
      <c r="D28" s="274" t="s">
        <v>101</v>
      </c>
      <c r="E28" s="135">
        <v>50</v>
      </c>
      <c r="F28" s="174"/>
      <c r="G28" s="174"/>
      <c r="H28" s="174"/>
      <c r="I28" s="262">
        <f t="shared" si="16"/>
        <v>50</v>
      </c>
      <c r="J28" s="262">
        <f t="shared" si="16"/>
        <v>50</v>
      </c>
      <c r="K28" s="175"/>
      <c r="L28" s="262">
        <f t="shared" si="17"/>
        <v>50</v>
      </c>
      <c r="M28" s="262">
        <f t="shared" si="12"/>
        <v>50</v>
      </c>
      <c r="N28" s="168">
        <f t="shared" si="1"/>
        <v>200</v>
      </c>
      <c r="O28" s="267">
        <f t="shared" si="13"/>
        <v>20</v>
      </c>
      <c r="P28" s="168">
        <f t="shared" si="2"/>
        <v>4000</v>
      </c>
      <c r="Q28" s="168">
        <f t="shared" si="3"/>
        <v>1280</v>
      </c>
      <c r="R28" s="182">
        <f t="shared" si="4"/>
        <v>5280</v>
      </c>
    </row>
    <row r="29" spans="1:19" ht="15" x14ac:dyDescent="0.25">
      <c r="A29" s="189" t="s">
        <v>142</v>
      </c>
      <c r="B29" s="274" t="s">
        <v>101</v>
      </c>
      <c r="C29" s="274" t="s">
        <v>101</v>
      </c>
      <c r="D29" s="274" t="s">
        <v>101</v>
      </c>
      <c r="E29" s="135">
        <v>50</v>
      </c>
      <c r="F29" s="174"/>
      <c r="G29" s="174"/>
      <c r="H29" s="174"/>
      <c r="I29" s="262">
        <f t="shared" si="16"/>
        <v>50</v>
      </c>
      <c r="J29" s="262">
        <f t="shared" si="16"/>
        <v>50</v>
      </c>
      <c r="K29" s="175"/>
      <c r="L29" s="262">
        <f t="shared" si="17"/>
        <v>50</v>
      </c>
      <c r="M29" s="262">
        <f t="shared" si="12"/>
        <v>50</v>
      </c>
      <c r="N29" s="168">
        <f t="shared" si="1"/>
        <v>200</v>
      </c>
      <c r="O29" s="267">
        <f t="shared" si="13"/>
        <v>20</v>
      </c>
      <c r="P29" s="168">
        <f t="shared" si="2"/>
        <v>4000</v>
      </c>
      <c r="Q29" s="168">
        <f t="shared" si="3"/>
        <v>1280</v>
      </c>
      <c r="R29" s="182">
        <f t="shared" si="4"/>
        <v>5280</v>
      </c>
    </row>
    <row r="30" spans="1:19" s="124" customFormat="1" ht="15" x14ac:dyDescent="0.25">
      <c r="A30" s="209" t="s">
        <v>104</v>
      </c>
      <c r="B30" s="210">
        <f>SUM(B7:B29)</f>
        <v>110</v>
      </c>
      <c r="C30" s="210">
        <f t="shared" ref="C30:D30" si="18">SUM(C7:C29)</f>
        <v>960</v>
      </c>
      <c r="D30" s="210">
        <f t="shared" si="18"/>
        <v>30</v>
      </c>
      <c r="E30" s="126"/>
      <c r="F30" s="125"/>
      <c r="G30" s="125"/>
      <c r="H30" s="122"/>
      <c r="I30" s="122"/>
      <c r="J30" s="122"/>
      <c r="K30" s="122"/>
      <c r="L30" s="122"/>
      <c r="M30" s="123"/>
      <c r="N30" s="127"/>
      <c r="O30" s="269"/>
      <c r="P30" s="127"/>
      <c r="Q30" s="127"/>
      <c r="R30" s="185"/>
      <c r="S30" s="128"/>
    </row>
    <row r="31" spans="1:19" s="112" customFormat="1" ht="30.75" thickBot="1" x14ac:dyDescent="0.3">
      <c r="A31" s="186"/>
      <c r="B31" s="129"/>
      <c r="C31" s="129"/>
      <c r="D31" s="129"/>
      <c r="E31" s="111" t="s">
        <v>96</v>
      </c>
      <c r="F31" s="130"/>
      <c r="G31" s="130"/>
      <c r="H31" s="130"/>
      <c r="I31" s="130"/>
      <c r="J31" s="130"/>
      <c r="K31" s="130"/>
      <c r="L31" s="130"/>
      <c r="M31" s="131"/>
      <c r="N31" s="131"/>
      <c r="O31" s="270"/>
      <c r="P31" s="131"/>
      <c r="Q31" s="131"/>
      <c r="R31" s="187"/>
    </row>
    <row r="32" spans="1:19" s="112" customFormat="1" ht="20.25" thickTop="1" thickBot="1" x14ac:dyDescent="0.35">
      <c r="A32" s="167" t="s">
        <v>154</v>
      </c>
      <c r="B32" s="132"/>
      <c r="C32" s="114"/>
      <c r="D32" s="114"/>
      <c r="E32" s="114"/>
      <c r="F32" s="115"/>
      <c r="G32" s="115"/>
      <c r="H32" s="115"/>
      <c r="I32" s="115"/>
      <c r="J32" s="115"/>
      <c r="K32" s="115"/>
      <c r="L32" s="115"/>
      <c r="M32" s="117"/>
      <c r="N32" s="117"/>
      <c r="O32" s="264"/>
      <c r="P32" s="260"/>
      <c r="Q32" s="199">
        <v>0.32</v>
      </c>
      <c r="R32" s="116"/>
    </row>
    <row r="33" spans="1:19" s="112" customFormat="1" ht="15.75" thickTop="1" x14ac:dyDescent="0.25">
      <c r="A33" s="188" t="s">
        <v>156</v>
      </c>
      <c r="B33" s="133"/>
      <c r="C33" s="133"/>
      <c r="D33" s="133"/>
      <c r="E33" s="119">
        <v>10</v>
      </c>
      <c r="F33" s="173"/>
      <c r="G33" s="262">
        <f t="shared" ref="G33:G35" si="19">$E33</f>
        <v>10</v>
      </c>
      <c r="H33" s="156"/>
      <c r="I33" s="156"/>
      <c r="J33" s="156"/>
      <c r="K33" s="156"/>
      <c r="L33" s="262"/>
      <c r="M33" s="262"/>
      <c r="N33" s="168">
        <f t="shared" ref="N33:N35" si="20">SUM($F33:$M33)</f>
        <v>10</v>
      </c>
      <c r="O33" s="267">
        <f>B2/2</f>
        <v>10</v>
      </c>
      <c r="P33" s="168">
        <f t="shared" ref="P33" si="21">O33*N33</f>
        <v>100</v>
      </c>
      <c r="Q33" s="168">
        <f t="shared" ref="Q33" si="22">$Q$6*P33</f>
        <v>32</v>
      </c>
      <c r="R33" s="182">
        <f>SUM(P33:Q33)</f>
        <v>132</v>
      </c>
    </row>
    <row r="34" spans="1:19" s="112" customFormat="1" ht="15" x14ac:dyDescent="0.25">
      <c r="A34" s="188" t="s">
        <v>152</v>
      </c>
      <c r="B34" s="133"/>
      <c r="C34" s="133"/>
      <c r="D34" s="133"/>
      <c r="E34" s="119">
        <v>100</v>
      </c>
      <c r="F34" s="173"/>
      <c r="G34" s="262">
        <f t="shared" si="19"/>
        <v>100</v>
      </c>
      <c r="H34" s="156"/>
      <c r="I34" s="156"/>
      <c r="J34" s="156"/>
      <c r="K34" s="156"/>
      <c r="L34" s="262">
        <f t="shared" ref="L34:L35" si="23">$E34</f>
        <v>100</v>
      </c>
      <c r="M34" s="262">
        <f t="shared" ref="M34:M35" si="24">$E34</f>
        <v>100</v>
      </c>
      <c r="N34" s="168">
        <f t="shared" si="20"/>
        <v>300</v>
      </c>
      <c r="O34" s="267">
        <v>8</v>
      </c>
      <c r="P34" s="168">
        <f t="shared" ref="P34:P35" si="25">O34*N34</f>
        <v>2400</v>
      </c>
      <c r="Q34" s="168">
        <f t="shared" ref="Q34:Q35" si="26">$Q$6*P34</f>
        <v>768</v>
      </c>
      <c r="R34" s="182">
        <f>SUM(P34:Q34)</f>
        <v>3168</v>
      </c>
    </row>
    <row r="35" spans="1:19" s="112" customFormat="1" ht="15" x14ac:dyDescent="0.25">
      <c r="A35" s="188" t="s">
        <v>153</v>
      </c>
      <c r="B35" s="133"/>
      <c r="C35" s="133"/>
      <c r="D35" s="133"/>
      <c r="E35" s="119">
        <v>18.75</v>
      </c>
      <c r="F35" s="173"/>
      <c r="G35" s="262">
        <f t="shared" si="19"/>
        <v>18.75</v>
      </c>
      <c r="H35" s="156"/>
      <c r="I35" s="156"/>
      <c r="J35" s="156"/>
      <c r="K35" s="156"/>
      <c r="L35" s="262">
        <f t="shared" si="23"/>
        <v>18.75</v>
      </c>
      <c r="M35" s="262">
        <f t="shared" si="24"/>
        <v>18.75</v>
      </c>
      <c r="N35" s="168">
        <f t="shared" si="20"/>
        <v>56.25</v>
      </c>
      <c r="O35" s="267">
        <v>8</v>
      </c>
      <c r="P35" s="168">
        <f t="shared" si="25"/>
        <v>450</v>
      </c>
      <c r="Q35" s="168">
        <f t="shared" si="26"/>
        <v>144</v>
      </c>
      <c r="R35" s="182">
        <f t="shared" ref="R35" si="27">SUM(P35:Q35)</f>
        <v>594</v>
      </c>
    </row>
    <row r="36" spans="1:19" s="112" customFormat="1" ht="30.75" thickBot="1" x14ac:dyDescent="0.3">
      <c r="A36" s="186"/>
      <c r="B36" s="129"/>
      <c r="C36" s="129"/>
      <c r="D36" s="129"/>
      <c r="E36" s="111" t="s">
        <v>102</v>
      </c>
      <c r="F36" s="273" t="s">
        <v>145</v>
      </c>
      <c r="G36" s="130"/>
      <c r="H36" s="130"/>
      <c r="I36" s="130"/>
      <c r="J36" s="130"/>
      <c r="K36" s="130"/>
      <c r="L36" s="130"/>
      <c r="M36" s="131"/>
      <c r="N36" s="131"/>
      <c r="O36" s="270"/>
      <c r="P36" s="131"/>
      <c r="Q36" s="131"/>
      <c r="R36" s="187"/>
    </row>
    <row r="37" spans="1:19" s="112" customFormat="1" ht="20.25" thickTop="1" thickBot="1" x14ac:dyDescent="0.35">
      <c r="A37" s="167" t="s">
        <v>146</v>
      </c>
      <c r="B37" s="132"/>
      <c r="C37" s="114"/>
      <c r="D37" s="114"/>
      <c r="E37" s="114"/>
      <c r="F37" s="115"/>
      <c r="G37" s="115"/>
      <c r="H37" s="115"/>
      <c r="I37" s="115"/>
      <c r="J37" s="115"/>
      <c r="K37" s="115"/>
      <c r="L37" s="115"/>
      <c r="M37" s="117"/>
      <c r="N37" s="117"/>
      <c r="O37" s="264"/>
      <c r="P37" s="260"/>
      <c r="Q37" s="199">
        <v>0.32</v>
      </c>
      <c r="R37" s="116"/>
    </row>
    <row r="38" spans="1:19" ht="15.75" thickTop="1" x14ac:dyDescent="0.25">
      <c r="A38" s="189" t="s">
        <v>136</v>
      </c>
      <c r="B38" s="134"/>
      <c r="C38" s="134"/>
      <c r="D38" s="134"/>
      <c r="E38" s="135">
        <v>1600</v>
      </c>
      <c r="F38" s="176">
        <v>5</v>
      </c>
      <c r="G38" s="175"/>
      <c r="H38" s="174"/>
      <c r="I38" s="175"/>
      <c r="J38" s="175"/>
      <c r="K38" s="175"/>
      <c r="L38" s="175"/>
      <c r="M38" s="175"/>
      <c r="N38" s="168">
        <f>SUM(F38:M38)*E38</f>
        <v>8000</v>
      </c>
      <c r="O38" s="267"/>
      <c r="P38" s="168"/>
      <c r="Q38" s="168">
        <f>$Q$37*N38</f>
        <v>2560</v>
      </c>
      <c r="R38" s="182">
        <f>SUM(N38:Q38)</f>
        <v>10560</v>
      </c>
    </row>
    <row r="39" spans="1:19" s="124" customFormat="1" ht="15" x14ac:dyDescent="0.25">
      <c r="A39" s="207" t="s">
        <v>177</v>
      </c>
      <c r="B39" s="136"/>
      <c r="C39" s="136"/>
      <c r="D39" s="136"/>
      <c r="E39" s="171">
        <v>800</v>
      </c>
      <c r="F39" s="166">
        <v>5</v>
      </c>
      <c r="G39" s="166"/>
      <c r="H39" s="163"/>
      <c r="I39" s="163"/>
      <c r="J39" s="163"/>
      <c r="K39" s="163"/>
      <c r="L39" s="163"/>
      <c r="M39" s="164"/>
      <c r="N39" s="168">
        <f t="shared" ref="N39:N44" si="28">SUM(F39:M39)*E39</f>
        <v>4000</v>
      </c>
      <c r="O39" s="267"/>
      <c r="P39" s="168"/>
      <c r="Q39" s="168">
        <f>$Q$6*N39</f>
        <v>1280</v>
      </c>
      <c r="R39" s="182">
        <f>SUM(N39:Q39)</f>
        <v>5280</v>
      </c>
      <c r="S39" s="121"/>
    </row>
    <row r="40" spans="1:19" s="124" customFormat="1" ht="15" x14ac:dyDescent="0.25">
      <c r="A40" s="207" t="s">
        <v>178</v>
      </c>
      <c r="B40" s="136"/>
      <c r="C40" s="136"/>
      <c r="D40" s="136"/>
      <c r="E40" s="171">
        <v>1500</v>
      </c>
      <c r="F40" s="166">
        <v>10</v>
      </c>
      <c r="G40" s="166"/>
      <c r="H40" s="163"/>
      <c r="I40" s="163"/>
      <c r="J40" s="163"/>
      <c r="K40" s="163"/>
      <c r="L40" s="163"/>
      <c r="M40" s="164"/>
      <c r="N40" s="168">
        <f t="shared" si="28"/>
        <v>15000</v>
      </c>
      <c r="O40" s="267"/>
      <c r="P40" s="168"/>
      <c r="Q40" s="168">
        <f>$Q$6*N40</f>
        <v>4800</v>
      </c>
      <c r="R40" s="182">
        <f>SUM(N40:Q40)</f>
        <v>19800</v>
      </c>
      <c r="S40" s="121"/>
    </row>
    <row r="41" spans="1:19" ht="13.9" customHeight="1" x14ac:dyDescent="0.25">
      <c r="A41" s="190" t="s">
        <v>100</v>
      </c>
      <c r="B41" s="136"/>
      <c r="C41" s="136"/>
      <c r="D41" s="136"/>
      <c r="E41" s="137">
        <v>5000</v>
      </c>
      <c r="F41" s="176">
        <v>1</v>
      </c>
      <c r="G41" s="176"/>
      <c r="H41" s="176"/>
      <c r="I41" s="176"/>
      <c r="J41" s="176"/>
      <c r="K41" s="176"/>
      <c r="L41" s="176"/>
      <c r="M41" s="176"/>
      <c r="N41" s="168">
        <f t="shared" si="28"/>
        <v>5000</v>
      </c>
      <c r="O41" s="267"/>
      <c r="P41" s="168"/>
      <c r="Q41" s="177" t="s">
        <v>101</v>
      </c>
      <c r="R41" s="182">
        <f t="shared" ref="R41:R45" si="29">SUM(N41:Q41)</f>
        <v>5000</v>
      </c>
    </row>
    <row r="42" spans="1:19" ht="13.9" customHeight="1" x14ac:dyDescent="0.25">
      <c r="A42" s="254" t="s">
        <v>138</v>
      </c>
      <c r="B42" s="255"/>
      <c r="C42" s="255"/>
      <c r="D42" s="255"/>
      <c r="E42" s="256">
        <v>2000</v>
      </c>
      <c r="F42" s="257">
        <v>1</v>
      </c>
      <c r="G42" s="257"/>
      <c r="H42" s="257"/>
      <c r="I42" s="257"/>
      <c r="J42" s="257"/>
      <c r="K42" s="257"/>
      <c r="L42" s="257"/>
      <c r="M42" s="257"/>
      <c r="N42" s="168">
        <f t="shared" si="28"/>
        <v>2000</v>
      </c>
      <c r="O42" s="267"/>
      <c r="P42" s="168"/>
      <c r="Q42" s="177" t="s">
        <v>101</v>
      </c>
      <c r="R42" s="182">
        <f t="shared" si="29"/>
        <v>2000</v>
      </c>
    </row>
    <row r="43" spans="1:19" ht="13.9" customHeight="1" x14ac:dyDescent="0.25">
      <c r="A43" s="254" t="s">
        <v>139</v>
      </c>
      <c r="B43" s="255"/>
      <c r="C43" s="255"/>
      <c r="D43" s="255"/>
      <c r="E43" s="256">
        <v>1000</v>
      </c>
      <c r="F43" s="257">
        <v>2</v>
      </c>
      <c r="G43" s="257"/>
      <c r="H43" s="257"/>
      <c r="I43" s="257"/>
      <c r="J43" s="257"/>
      <c r="K43" s="257"/>
      <c r="L43" s="257"/>
      <c r="M43" s="257"/>
      <c r="N43" s="168">
        <f t="shared" si="28"/>
        <v>2000</v>
      </c>
      <c r="O43" s="267"/>
      <c r="P43" s="168"/>
      <c r="Q43" s="177" t="s">
        <v>101</v>
      </c>
      <c r="R43" s="182">
        <f t="shared" si="29"/>
        <v>2000</v>
      </c>
    </row>
    <row r="44" spans="1:19" ht="13.9" customHeight="1" x14ac:dyDescent="0.25">
      <c r="A44" s="136" t="s">
        <v>155</v>
      </c>
      <c r="B44" s="255"/>
      <c r="C44" s="255"/>
      <c r="D44" s="255"/>
      <c r="E44" s="256">
        <v>1000</v>
      </c>
      <c r="F44" s="257">
        <v>1</v>
      </c>
      <c r="G44" s="257"/>
      <c r="H44" s="257"/>
      <c r="I44" s="257"/>
      <c r="J44" s="257"/>
      <c r="K44" s="257"/>
      <c r="L44" s="257"/>
      <c r="M44" s="257"/>
      <c r="N44" s="168">
        <f t="shared" si="28"/>
        <v>1000</v>
      </c>
      <c r="O44" s="267"/>
      <c r="P44" s="168"/>
      <c r="Q44" s="177" t="s">
        <v>101</v>
      </c>
      <c r="R44" s="182">
        <f t="shared" ref="R44" si="30">SUM(N44:Q44)</f>
        <v>1000</v>
      </c>
    </row>
    <row r="45" spans="1:19" ht="13.9" customHeight="1" thickBot="1" x14ac:dyDescent="0.3">
      <c r="A45" s="191"/>
      <c r="B45" s="192"/>
      <c r="C45" s="192"/>
      <c r="D45" s="192"/>
      <c r="E45" s="193"/>
      <c r="F45" s="194"/>
      <c r="G45" s="194"/>
      <c r="H45" s="194"/>
      <c r="I45" s="194"/>
      <c r="J45" s="194"/>
      <c r="K45" s="194"/>
      <c r="L45" s="194"/>
      <c r="M45" s="194"/>
      <c r="N45" s="168">
        <f>SUM(F45:M45)*E45</f>
        <v>0</v>
      </c>
      <c r="O45" s="268"/>
      <c r="P45" s="170"/>
      <c r="Q45" s="170">
        <f t="shared" ref="Q45" si="31">$Q$37*N45</f>
        <v>0</v>
      </c>
      <c r="R45" s="183">
        <f t="shared" si="29"/>
        <v>0</v>
      </c>
    </row>
    <row r="46" spans="1:19" s="112" customFormat="1" ht="6.75" customHeight="1" x14ac:dyDescent="0.25">
      <c r="A46" s="138"/>
      <c r="B46" s="138"/>
      <c r="C46" s="138"/>
      <c r="D46" s="138"/>
      <c r="E46" s="105"/>
      <c r="F46" s="105"/>
      <c r="G46" s="106"/>
      <c r="H46" s="105"/>
      <c r="I46" s="105"/>
      <c r="M46" s="105"/>
      <c r="N46" s="105"/>
      <c r="O46" s="265"/>
      <c r="P46" s="105"/>
      <c r="Q46" s="105"/>
      <c r="R46" s="105"/>
    </row>
    <row r="47" spans="1:19" s="196" customFormat="1" ht="23.25" x14ac:dyDescent="0.35">
      <c r="A47" s="195"/>
      <c r="B47" s="195"/>
      <c r="C47" s="195"/>
      <c r="D47" s="195"/>
      <c r="M47" s="211" t="s">
        <v>31</v>
      </c>
      <c r="N47" s="197">
        <f>SUM(N7:N45)</f>
        <v>43609.583333333336</v>
      </c>
      <c r="O47" s="271"/>
      <c r="P47" s="197"/>
      <c r="Q47" s="197">
        <f>SUM(Q7:Q45)</f>
        <v>54029.973333333335</v>
      </c>
      <c r="R47" s="212">
        <f>SUM(R7:R45)</f>
        <v>232871</v>
      </c>
    </row>
    <row r="48" spans="1:19" ht="7.15" customHeight="1" thickBot="1" x14ac:dyDescent="0.3">
      <c r="A48" s="139"/>
      <c r="B48" s="139"/>
      <c r="C48" s="139"/>
      <c r="D48" s="139"/>
      <c r="G48" s="105"/>
      <c r="M48" s="124"/>
      <c r="N48" s="140"/>
      <c r="O48" s="272"/>
      <c r="P48" s="140"/>
      <c r="Q48" s="140"/>
      <c r="R48" s="140"/>
    </row>
    <row r="49" spans="1:19" ht="46.5" thickTop="1" x14ac:dyDescent="0.3">
      <c r="G49" s="141"/>
      <c r="M49" s="151" t="s">
        <v>73</v>
      </c>
      <c r="N49" s="151" t="s">
        <v>74</v>
      </c>
      <c r="O49" s="151" t="s">
        <v>98</v>
      </c>
      <c r="Q49" s="112"/>
      <c r="R49" s="198" t="s">
        <v>97</v>
      </c>
    </row>
    <row r="50" spans="1:19" ht="24" thickBot="1" x14ac:dyDescent="0.4">
      <c r="E50" s="142"/>
      <c r="F50" s="143"/>
      <c r="G50" s="143"/>
      <c r="H50" s="143"/>
      <c r="I50" s="143"/>
      <c r="J50" s="143"/>
      <c r="M50" s="149">
        <f>C2</f>
        <v>65</v>
      </c>
      <c r="N50" s="149">
        <f>D2</f>
        <v>32</v>
      </c>
      <c r="O50" s="178">
        <f>B2</f>
        <v>20</v>
      </c>
      <c r="Q50" s="258" t="s">
        <v>140</v>
      </c>
      <c r="R50" s="213">
        <f>SUM(R7:R35)/B2</f>
        <v>9361.5499999999993</v>
      </c>
    </row>
    <row r="51" spans="1:19" ht="9.75" customHeight="1" thickTop="1" thickBot="1" x14ac:dyDescent="0.35">
      <c r="A51" s="144"/>
      <c r="B51" s="144"/>
      <c r="C51" s="144"/>
      <c r="D51" s="144"/>
      <c r="E51" s="142"/>
      <c r="F51" s="145"/>
      <c r="G51" s="146"/>
      <c r="H51" s="147"/>
      <c r="I51" s="147"/>
      <c r="J51" s="147"/>
      <c r="K51" s="147"/>
      <c r="L51" s="147"/>
      <c r="M51" s="147"/>
      <c r="Q51" s="259"/>
      <c r="S51" s="196"/>
    </row>
    <row r="52" spans="1:19" ht="38.25" thickTop="1" x14ac:dyDescent="0.3">
      <c r="A52" s="144"/>
      <c r="B52" s="144"/>
      <c r="C52" s="144"/>
      <c r="D52" s="144"/>
      <c r="G52" s="105"/>
      <c r="N52" s="148"/>
      <c r="P52" s="148"/>
      <c r="Q52" s="259"/>
      <c r="R52" s="198" t="s">
        <v>97</v>
      </c>
      <c r="S52" s="196"/>
    </row>
    <row r="53" spans="1:19" ht="24" thickBot="1" x14ac:dyDescent="0.4">
      <c r="A53" s="144"/>
      <c r="B53" s="144"/>
      <c r="C53" s="144"/>
      <c r="D53" s="144"/>
      <c r="G53" s="105"/>
      <c r="N53" s="148"/>
      <c r="P53" s="148"/>
      <c r="Q53" s="258" t="s">
        <v>141</v>
      </c>
      <c r="R53" s="213">
        <f>SUM(R7:R45)/B2</f>
        <v>11643.55</v>
      </c>
    </row>
    <row r="54" spans="1:19" ht="12" thickTop="1" x14ac:dyDescent="0.2">
      <c r="Q54" s="259"/>
    </row>
  </sheetData>
  <sheetProtection formatCells="0" formatColumns="0" formatRows="0" insertColumns="0" insertRows="0" deleteColumns="0" deleteRows="0"/>
  <mergeCells count="4">
    <mergeCell ref="O4:P4"/>
    <mergeCell ref="O5:O6"/>
    <mergeCell ref="P5:P6"/>
    <mergeCell ref="N5:N6"/>
  </mergeCells>
  <pageMargins left="0.25" right="0.25" top="0.25" bottom="0.2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3"/>
  <sheetViews>
    <sheetView workbookViewId="0">
      <selection activeCell="G6" sqref="G6"/>
    </sheetView>
  </sheetViews>
  <sheetFormatPr defaultColWidth="11.42578125" defaultRowHeight="15" x14ac:dyDescent="0.25"/>
  <cols>
    <col min="1" max="1" width="40" style="243" bestFit="1" customWidth="1"/>
    <col min="2" max="2" width="15" style="215" customWidth="1"/>
    <col min="3" max="3" width="9.28515625" style="216" customWidth="1"/>
    <col min="4" max="5" width="11.42578125" style="217" hidden="1" customWidth="1"/>
    <col min="6" max="6" width="15.7109375" style="217" customWidth="1"/>
    <col min="7" max="7" width="12.140625" style="217" bestFit="1" customWidth="1"/>
    <col min="8" max="16384" width="11.42578125" style="217"/>
  </cols>
  <sheetData>
    <row r="1" spans="1:6" ht="14.45" x14ac:dyDescent="0.3">
      <c r="A1" s="214" t="s">
        <v>120</v>
      </c>
    </row>
    <row r="2" spans="1:6" ht="45" x14ac:dyDescent="0.25">
      <c r="A2" s="218"/>
      <c r="B2" s="219" t="s">
        <v>119</v>
      </c>
      <c r="C2" s="220" t="s">
        <v>121</v>
      </c>
      <c r="D2" s="221"/>
      <c r="E2" s="221" t="s">
        <v>84</v>
      </c>
      <c r="F2" s="222" t="s">
        <v>122</v>
      </c>
    </row>
    <row r="3" spans="1:6" ht="14.45" x14ac:dyDescent="0.3">
      <c r="A3" s="223" t="s">
        <v>107</v>
      </c>
      <c r="B3" s="224"/>
      <c r="C3" s="225"/>
      <c r="D3" s="226"/>
      <c r="E3" s="227">
        <v>0.38</v>
      </c>
      <c r="F3" s="228"/>
    </row>
    <row r="4" spans="1:6" ht="14.45" x14ac:dyDescent="0.3">
      <c r="A4" s="229" t="s">
        <v>81</v>
      </c>
      <c r="B4" s="230">
        <f>SUM(' Proposed Study Budget '!E7)</f>
        <v>133.33333333333334</v>
      </c>
      <c r="C4" s="231">
        <f>' Proposed Study Budget '!F7</f>
        <v>133.33333333333334</v>
      </c>
      <c r="D4" s="232">
        <f>B4*C4</f>
        <v>17777.777777777781</v>
      </c>
      <c r="E4" s="232">
        <f>(D4*E$3)</f>
        <v>6755.5555555555566</v>
      </c>
      <c r="F4" s="233">
        <f>SUM(D4:E4)</f>
        <v>24533.333333333336</v>
      </c>
    </row>
    <row r="5" spans="1:6" ht="14.45" x14ac:dyDescent="0.3">
      <c r="A5" s="229" t="s">
        <v>108</v>
      </c>
      <c r="B5" s="230">
        <f>SUM(' Proposed Study Budget '!E8:E9)</f>
        <v>187.5</v>
      </c>
      <c r="C5" s="231">
        <f>' Proposed Study Budget '!F8</f>
        <v>112.5</v>
      </c>
      <c r="D5" s="232">
        <f t="shared" ref="D5:D16" si="0">B5*C5</f>
        <v>21093.75</v>
      </c>
      <c r="E5" s="232">
        <f t="shared" ref="E5:E16" si="1">(D5*E$3)</f>
        <v>8015.625</v>
      </c>
      <c r="F5" s="233">
        <f t="shared" ref="F5:F16" si="2">SUM(D5:E5)</f>
        <v>29109.375</v>
      </c>
    </row>
    <row r="6" spans="1:6" ht="14.45" x14ac:dyDescent="0.3">
      <c r="A6" s="234" t="s">
        <v>106</v>
      </c>
      <c r="B6" s="230">
        <f>SUM(' Proposed Study Budget '!E10)</f>
        <v>75</v>
      </c>
      <c r="C6" s="231">
        <f>' Proposed Study Budget '!F10</f>
        <v>75</v>
      </c>
      <c r="D6" s="232">
        <f t="shared" si="0"/>
        <v>5625</v>
      </c>
      <c r="E6" s="232">
        <f t="shared" si="1"/>
        <v>2137.5</v>
      </c>
      <c r="F6" s="233">
        <f t="shared" si="2"/>
        <v>7762.5</v>
      </c>
    </row>
    <row r="7" spans="1:6" ht="14.45" x14ac:dyDescent="0.3">
      <c r="A7" s="223" t="s">
        <v>109</v>
      </c>
      <c r="B7" s="224"/>
      <c r="C7" s="225"/>
      <c r="D7" s="235"/>
      <c r="E7" s="235"/>
      <c r="F7" s="236"/>
    </row>
    <row r="8" spans="1:6" ht="14.45" x14ac:dyDescent="0.3">
      <c r="A8" s="234" t="s">
        <v>110</v>
      </c>
      <c r="B8" s="230">
        <f>SUM(' Proposed Study Budget '!E11:E21,' Proposed Study Budget '!E23)</f>
        <v>1580</v>
      </c>
      <c r="C8" s="237">
        <f>' Proposed Study Budget '!$B$2</f>
        <v>20</v>
      </c>
      <c r="D8" s="232">
        <f t="shared" si="0"/>
        <v>31600</v>
      </c>
      <c r="E8" s="232">
        <f t="shared" si="1"/>
        <v>12008</v>
      </c>
      <c r="F8" s="233">
        <f t="shared" si="2"/>
        <v>43608</v>
      </c>
    </row>
    <row r="9" spans="1:6" ht="14.45" x14ac:dyDescent="0.3">
      <c r="A9" s="234" t="s">
        <v>111</v>
      </c>
      <c r="B9" s="230">
        <f>SUM(' Proposed Study Budget '!E21:E23,' Proposed Study Budget '!E27)</f>
        <v>300</v>
      </c>
      <c r="C9" s="237">
        <f>' Proposed Study Budget '!$B$2</f>
        <v>20</v>
      </c>
      <c r="D9" s="232">
        <f t="shared" si="0"/>
        <v>6000</v>
      </c>
      <c r="E9" s="232">
        <f t="shared" si="1"/>
        <v>2280</v>
      </c>
      <c r="F9" s="233">
        <f t="shared" si="2"/>
        <v>8280</v>
      </c>
    </row>
    <row r="10" spans="1:6" ht="14.45" x14ac:dyDescent="0.3">
      <c r="A10" s="234" t="s">
        <v>112</v>
      </c>
      <c r="B10" s="230">
        <f>SUM(' Proposed Study Budget '!E21:E23,' Proposed Study Budget '!E25,' Proposed Study Budget '!E27)</f>
        <v>325</v>
      </c>
      <c r="C10" s="237">
        <f>' Proposed Study Budget '!$B$2</f>
        <v>20</v>
      </c>
      <c r="D10" s="232">
        <f t="shared" si="0"/>
        <v>6500</v>
      </c>
      <c r="E10" s="232">
        <f t="shared" si="1"/>
        <v>2470</v>
      </c>
      <c r="F10" s="233">
        <f t="shared" si="2"/>
        <v>8970</v>
      </c>
    </row>
    <row r="11" spans="1:6" ht="14.45" x14ac:dyDescent="0.3">
      <c r="A11" s="234" t="s">
        <v>113</v>
      </c>
      <c r="B11" s="230">
        <f>SUM(' Proposed Study Budget '!E11,' Proposed Study Budget '!E18,' Proposed Study Budget '!E21:E25,' Proposed Study Budget '!E27)</f>
        <v>525</v>
      </c>
      <c r="C11" s="237">
        <f>' Proposed Study Budget '!$B$2</f>
        <v>20</v>
      </c>
      <c r="D11" s="232">
        <f t="shared" si="0"/>
        <v>10500</v>
      </c>
      <c r="E11" s="232">
        <f t="shared" si="1"/>
        <v>3990</v>
      </c>
      <c r="F11" s="233">
        <f t="shared" si="2"/>
        <v>14490</v>
      </c>
    </row>
    <row r="12" spans="1:6" ht="14.45" x14ac:dyDescent="0.3">
      <c r="A12" s="234" t="s">
        <v>114</v>
      </c>
      <c r="B12" s="230">
        <f>SUM(' Proposed Study Budget '!E21:E23,' Proposed Study Budget '!E27)</f>
        <v>300</v>
      </c>
      <c r="C12" s="237">
        <f>' Proposed Study Budget '!$B$2</f>
        <v>20</v>
      </c>
      <c r="D12" s="232">
        <f t="shared" si="0"/>
        <v>6000</v>
      </c>
      <c r="E12" s="232">
        <f t="shared" si="1"/>
        <v>2280</v>
      </c>
      <c r="F12" s="233">
        <f t="shared" si="2"/>
        <v>8280</v>
      </c>
    </row>
    <row r="13" spans="1:6" ht="14.45" x14ac:dyDescent="0.3">
      <c r="A13" s="234" t="s">
        <v>115</v>
      </c>
      <c r="B13" s="230">
        <f>SUM(' Proposed Study Budget '!E11,' Proposed Study Budget '!E13:E13,' Proposed Study Budget '!E20:E25,' Proposed Study Budget '!E27)</f>
        <v>637.5</v>
      </c>
      <c r="C13" s="237">
        <f>' Proposed Study Budget '!$B$2</f>
        <v>20</v>
      </c>
      <c r="D13" s="232">
        <f t="shared" si="0"/>
        <v>12750</v>
      </c>
      <c r="E13" s="232">
        <f t="shared" si="1"/>
        <v>4845</v>
      </c>
      <c r="F13" s="233">
        <f t="shared" si="2"/>
        <v>17595</v>
      </c>
    </row>
    <row r="14" spans="1:6" ht="14.45" x14ac:dyDescent="0.3">
      <c r="A14" s="234" t="s">
        <v>116</v>
      </c>
      <c r="B14" s="230">
        <f>SUM(' Proposed Study Budget '!E11:E18,' Proposed Study Budget '!E20:E27)</f>
        <v>1780</v>
      </c>
      <c r="C14" s="237">
        <f>' Proposed Study Budget '!$B$2</f>
        <v>20</v>
      </c>
      <c r="D14" s="232">
        <f t="shared" si="0"/>
        <v>35600</v>
      </c>
      <c r="E14" s="232">
        <f t="shared" si="1"/>
        <v>13528</v>
      </c>
      <c r="F14" s="233">
        <f t="shared" si="2"/>
        <v>49128</v>
      </c>
    </row>
    <row r="15" spans="1:6" ht="14.45" x14ac:dyDescent="0.3">
      <c r="A15" s="223" t="s">
        <v>117</v>
      </c>
      <c r="B15" s="224"/>
      <c r="C15" s="225"/>
      <c r="D15" s="235"/>
      <c r="E15" s="235"/>
      <c r="F15" s="236"/>
    </row>
    <row r="16" spans="1:6" ht="14.45" x14ac:dyDescent="0.3">
      <c r="A16" s="238" t="s">
        <v>118</v>
      </c>
      <c r="B16" s="239">
        <f>SUM(' Proposed Study Budget '!E39)</f>
        <v>800</v>
      </c>
      <c r="C16" s="240" t="e">
        <f>' Proposed Study Budget '!#REF!</f>
        <v>#REF!</v>
      </c>
      <c r="D16" s="241" t="e">
        <f t="shared" si="0"/>
        <v>#REF!</v>
      </c>
      <c r="E16" s="241" t="e">
        <f t="shared" si="1"/>
        <v>#REF!</v>
      </c>
      <c r="F16" s="242" t="e">
        <f t="shared" si="2"/>
        <v>#REF!</v>
      </c>
    </row>
    <row r="17" spans="3:9" thickBot="1" x14ac:dyDescent="0.35"/>
    <row r="18" spans="3:9" ht="15.6" x14ac:dyDescent="0.3">
      <c r="D18" s="244" t="e">
        <f>SUM(D4:D16)/' Proposed Study Budget '!$B$2</f>
        <v>#REF!</v>
      </c>
      <c r="E18" s="244"/>
      <c r="F18" s="245" t="e">
        <f>SUM(F4:F16)/' Proposed Study Budget '!$B$2</f>
        <v>#REF!</v>
      </c>
      <c r="G18" s="244"/>
      <c r="H18" s="244"/>
    </row>
    <row r="19" spans="3:9" ht="30.75" thickBot="1" x14ac:dyDescent="0.3">
      <c r="F19" s="246" t="s">
        <v>123</v>
      </c>
    </row>
    <row r="20" spans="3:9" ht="14.45" hidden="1" x14ac:dyDescent="0.3">
      <c r="G20" s="217" t="s">
        <v>129</v>
      </c>
      <c r="H20" s="217" t="s">
        <v>127</v>
      </c>
      <c r="I20" s="217" t="s">
        <v>128</v>
      </c>
    </row>
    <row r="21" spans="3:9" ht="14.45" hidden="1" x14ac:dyDescent="0.3">
      <c r="C21" s="243" t="s">
        <v>124</v>
      </c>
      <c r="F21" s="244" t="e">
        <f>F18*8.7%</f>
        <v>#REF!</v>
      </c>
      <c r="G21" s="244" t="e">
        <f>F21*20</f>
        <v>#REF!</v>
      </c>
      <c r="H21" s="244" t="e">
        <f>G21/2</f>
        <v>#REF!</v>
      </c>
      <c r="I21" s="247" t="e">
        <f>H21/' Proposed Study Budget '!B5</f>
        <v>#REF!</v>
      </c>
    </row>
    <row r="22" spans="3:9" ht="14.45" hidden="1" x14ac:dyDescent="0.3">
      <c r="C22" s="243" t="s">
        <v>125</v>
      </c>
      <c r="F22" s="244" t="e">
        <f>F18*80%</f>
        <v>#REF!</v>
      </c>
      <c r="G22" s="244" t="e">
        <f>F22*20</f>
        <v>#REF!</v>
      </c>
      <c r="H22" s="244" t="e">
        <f>G22/2</f>
        <v>#REF!</v>
      </c>
      <c r="I22" s="247" t="e">
        <f>H22/' Proposed Study Budget '!C5</f>
        <v>#REF!</v>
      </c>
    </row>
    <row r="23" spans="3:9" ht="14.45" hidden="1" x14ac:dyDescent="0.3">
      <c r="C23" s="243" t="s">
        <v>126</v>
      </c>
      <c r="F23" s="244" t="e">
        <f>F18*11%</f>
        <v>#REF!</v>
      </c>
      <c r="G23" s="244" t="e">
        <f>F23*20</f>
        <v>#REF!</v>
      </c>
      <c r="H23" s="244" t="e">
        <f>G23/2</f>
        <v>#REF!</v>
      </c>
      <c r="I23" s="247" t="e">
        <f>H23/' Proposed Study Budget '!D5</f>
        <v>#REF!</v>
      </c>
    </row>
  </sheetData>
  <sheetProtection password="DAFF" sheet="1" objects="1" scenarios="1" selectLockedCells="1" selectUnlockedCells="1"/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2" sqref="A22"/>
    </sheetView>
  </sheetViews>
  <sheetFormatPr defaultRowHeight="15" x14ac:dyDescent="0.25"/>
  <cols>
    <col min="1" max="1" width="39.28515625" customWidth="1"/>
    <col min="2" max="2" width="17.5703125" bestFit="1" customWidth="1"/>
    <col min="3" max="3" width="14.28515625" customWidth="1"/>
    <col min="4" max="4" width="17" customWidth="1"/>
    <col min="5" max="5" width="2.42578125" customWidth="1"/>
    <col min="6" max="6" width="17.5703125" bestFit="1" customWidth="1"/>
    <col min="7" max="7" width="12" bestFit="1" customWidth="1"/>
  </cols>
  <sheetData>
    <row r="1" spans="1:7" ht="15.75" thickBot="1" x14ac:dyDescent="0.3">
      <c r="A1" s="318" t="s">
        <v>109</v>
      </c>
      <c r="B1" s="319"/>
      <c r="C1" s="320"/>
    </row>
    <row r="2" spans="1:7" ht="30" x14ac:dyDescent="0.25">
      <c r="A2" s="278"/>
      <c r="B2" s="296" t="s">
        <v>173</v>
      </c>
      <c r="C2" s="296" t="s">
        <v>174</v>
      </c>
    </row>
    <row r="3" spans="1:7" ht="30" x14ac:dyDescent="0.25">
      <c r="A3" s="279" t="s">
        <v>157</v>
      </c>
      <c r="B3" s="280">
        <f>SUM(' Proposed Study Budget '!F7:F10)+(SUM(' Proposed Study Budget '!F7:F10)*' Proposed Study Budget '!Q6)</f>
        <v>522.5</v>
      </c>
      <c r="C3" s="280">
        <f>SUM(' Proposed Study Budget '!F7:F10)+(SUM(' Proposed Study Budget '!F7:F10)*' Proposed Study Budget '!Q6)</f>
        <v>522.5</v>
      </c>
      <c r="F3" s="294"/>
      <c r="G3" s="294"/>
    </row>
    <row r="4" spans="1:7" x14ac:dyDescent="0.25">
      <c r="A4" s="281" t="s">
        <v>158</v>
      </c>
      <c r="B4" s="280">
        <f>SUM(' Proposed Study Budget '!G11:G23)+(SUM(' Proposed Study Budget '!G11:G23)*' Proposed Study Budget '!Q6)</f>
        <v>2085.6</v>
      </c>
      <c r="C4" s="280">
        <f>SUM(' Proposed Study Budget '!G11:G18,' Proposed Study Budget '!G20:G23)+(SUM(' Proposed Study Budget '!G11:G18,' Proposed Study Budget '!G20:G23)*' Proposed Study Budget '!Q6)</f>
        <v>2019.6</v>
      </c>
      <c r="F4" s="294"/>
      <c r="G4" s="294"/>
    </row>
    <row r="5" spans="1:7" x14ac:dyDescent="0.25">
      <c r="A5" s="281" t="s">
        <v>159</v>
      </c>
      <c r="B5" s="280">
        <f>SUM(' Proposed Study Budget '!H21:H27)+(SUM(' Proposed Study Budget '!H21:H27)*' Proposed Study Budget '!Q6)</f>
        <v>396</v>
      </c>
      <c r="C5" s="280">
        <f>SUM(' Proposed Study Budget '!H21:H27)+(SUM(' Proposed Study Budget '!H21:H27)*' Proposed Study Budget '!Q6)</f>
        <v>396</v>
      </c>
      <c r="F5" s="294"/>
      <c r="G5" s="294"/>
    </row>
    <row r="6" spans="1:7" x14ac:dyDescent="0.25">
      <c r="A6" s="281" t="s">
        <v>160</v>
      </c>
      <c r="B6" s="280">
        <f>SUM(' Proposed Study Budget '!I21:I29)+(SUM(' Proposed Study Budget '!I21:I29)*' Proposed Study Budget '!Q6)</f>
        <v>561</v>
      </c>
      <c r="C6" s="280">
        <f>SUM(' Proposed Study Budget '!I21:I23,' Proposed Study Budget '!I27:I29)+(SUM(' Proposed Study Budget '!I21:I23,' Proposed Study Budget '!I27:I29)*' Proposed Study Budget '!Q6)</f>
        <v>528</v>
      </c>
      <c r="F6" s="294"/>
      <c r="G6" s="294"/>
    </row>
    <row r="7" spans="1:7" x14ac:dyDescent="0.25">
      <c r="A7" s="281" t="s">
        <v>161</v>
      </c>
      <c r="B7" s="280">
        <f>SUM(' Proposed Study Budget '!J11:J24,' Proposed Study Budget '!J27:J29)+(SUM(' Proposed Study Budget '!J11:J24,' Proposed Study Budget '!J27:J29)*' Proposed Study Budget '!Q6)</f>
        <v>792</v>
      </c>
      <c r="C7" s="280">
        <f>SUM(' Proposed Study Budget '!J11:J23,' Proposed Study Budget '!J25:J29)+(SUM(' Proposed Study Budget '!J11:J23,' Proposed Study Budget '!J25:J29)*' Proposed Study Budget '!Q6)</f>
        <v>792</v>
      </c>
      <c r="F7" s="294"/>
      <c r="G7" s="294"/>
    </row>
    <row r="8" spans="1:7" x14ac:dyDescent="0.25">
      <c r="A8" s="281" t="s">
        <v>162</v>
      </c>
      <c r="B8" s="280">
        <f>SUM(' Proposed Study Budget '!K21:K27)+(SUM(' Proposed Study Budget '!K21:K27)*' Proposed Study Budget '!Q6)</f>
        <v>396</v>
      </c>
      <c r="C8" s="280">
        <f>SUM(' Proposed Study Budget '!K21:K27)+(SUM(' Proposed Study Budget '!K21:K27)*' Proposed Study Budget '!Q6)</f>
        <v>396</v>
      </c>
      <c r="F8" s="294"/>
      <c r="G8" s="294"/>
    </row>
    <row r="9" spans="1:7" x14ac:dyDescent="0.25">
      <c r="A9" s="281" t="s">
        <v>163</v>
      </c>
      <c r="B9" s="280">
        <f>SUM(' Proposed Study Budget '!L11:L23,' Proposed Study Budget '!L25:L29)+(SUM(' Proposed Study Budget '!L11:L23,' Proposed Study Budget '!L25:L29)*' Proposed Study Budget '!Q6)</f>
        <v>940.5</v>
      </c>
      <c r="C9" s="280">
        <f>SUM(' Proposed Study Budget '!L11:L24,' Proposed Study Budget '!L27:L29)+(SUM(' Proposed Study Budget '!L11:L24,' Proposed Study Budget '!L27:L29)*' Proposed Study Budget '!Q6)</f>
        <v>940.5</v>
      </c>
      <c r="F9" s="294"/>
      <c r="G9" s="294"/>
    </row>
    <row r="10" spans="1:7" ht="15.75" thickBot="1" x14ac:dyDescent="0.3">
      <c r="A10" s="287" t="s">
        <v>164</v>
      </c>
      <c r="B10" s="288">
        <f>SUM(' Proposed Study Budget '!M11:M24,' Proposed Study Budget '!M27:M29)+(SUM(' Proposed Study Budget '!M11:M24,' Proposed Study Budget '!M27:M29)*' Proposed Study Budget '!Q6)</f>
        <v>2399.1</v>
      </c>
      <c r="C10" s="288">
        <f>SUM(' Proposed Study Budget '!M11:M24,' Proposed Study Budget '!M27:M29)+(SUM(' Proposed Study Budget '!M11:M24,' Proposed Study Budget '!M27:M29)*' Proposed Study Budget '!Q6)</f>
        <v>2399.1</v>
      </c>
      <c r="F10" s="294"/>
      <c r="G10" s="294"/>
    </row>
    <row r="11" spans="1:7" x14ac:dyDescent="0.25">
      <c r="A11" s="285" t="s">
        <v>175</v>
      </c>
      <c r="B11" s="286">
        <f>SUM(B3:B10)</f>
        <v>8092.7000000000007</v>
      </c>
      <c r="C11" s="286">
        <f>SUM(C3:C10)</f>
        <v>7993.7000000000007</v>
      </c>
      <c r="F11" s="295"/>
      <c r="G11" s="295"/>
    </row>
    <row r="12" spans="1:7" x14ac:dyDescent="0.25">
      <c r="A12" s="283" t="s">
        <v>172</v>
      </c>
      <c r="B12" s="284">
        <f>B11*10</f>
        <v>80927</v>
      </c>
      <c r="C12" s="284">
        <f>C11*10</f>
        <v>79937</v>
      </c>
      <c r="F12" s="295">
        <f>SUM(B12:C12)</f>
        <v>160864</v>
      </c>
      <c r="G12" s="295"/>
    </row>
    <row r="13" spans="1:7" ht="15.75" thickBot="1" x14ac:dyDescent="0.3">
      <c r="F13" s="293"/>
      <c r="G13" s="293"/>
    </row>
    <row r="14" spans="1:7" ht="15.75" thickBot="1" x14ac:dyDescent="0.3">
      <c r="A14" s="318" t="s">
        <v>165</v>
      </c>
      <c r="B14" s="319"/>
      <c r="C14" s="319"/>
      <c r="D14" s="320"/>
    </row>
    <row r="15" spans="1:7" x14ac:dyDescent="0.25">
      <c r="A15" s="290"/>
      <c r="B15" s="291" t="s">
        <v>167</v>
      </c>
      <c r="C15" s="291" t="s">
        <v>179</v>
      </c>
      <c r="D15" s="282" t="s">
        <v>168</v>
      </c>
    </row>
    <row r="16" spans="1:7" x14ac:dyDescent="0.25">
      <c r="A16" s="281" t="s">
        <v>166</v>
      </c>
      <c r="B16" s="61">
        <v>33</v>
      </c>
      <c r="C16" s="280">
        <f>SUM(' Proposed Study Budget '!F7:F9)+(SUM(' Proposed Study Budget '!F7:F9)*' Proposed Study Budget '!Q6)</f>
        <v>423.50000000000006</v>
      </c>
      <c r="D16" s="284">
        <f>B16*C16</f>
        <v>13975.500000000002</v>
      </c>
    </row>
    <row r="17" spans="1:6" ht="30" x14ac:dyDescent="0.25">
      <c r="A17" s="279" t="s">
        <v>169</v>
      </c>
      <c r="B17" s="61">
        <f>' Proposed Study Budget '!D2-' Proposed Study Budget '!B2</f>
        <v>12</v>
      </c>
      <c r="C17" s="289">
        <f>SUM(' Proposed Study Budget '!F7:F10)+(SUM(' Proposed Study Budget '!F7:F10)*' Proposed Study Budget '!Q6)</f>
        <v>522.5</v>
      </c>
      <c r="D17" s="284">
        <f t="shared" ref="D17:D18" si="0">B17*C17</f>
        <v>6270</v>
      </c>
    </row>
    <row r="18" spans="1:6" ht="30" x14ac:dyDescent="0.25">
      <c r="A18" s="279" t="s">
        <v>170</v>
      </c>
      <c r="B18" s="61">
        <f>' Proposed Study Budget '!C2-' Proposed Study Budget '!B2</f>
        <v>45</v>
      </c>
      <c r="C18" s="280">
        <f>' Proposed Study Budget '!M26+(' Proposed Study Budget '!M26*' Proposed Study Budget '!Q6)</f>
        <v>49.5</v>
      </c>
      <c r="D18" s="284">
        <f t="shared" si="0"/>
        <v>2227.5</v>
      </c>
      <c r="F18" s="292">
        <f>SUM(B12:C12,D16:D18)</f>
        <v>183337</v>
      </c>
    </row>
    <row r="19" spans="1:6" ht="15.75" thickBot="1" x14ac:dyDescent="0.3"/>
    <row r="20" spans="1:6" ht="15.75" thickBot="1" x14ac:dyDescent="0.3">
      <c r="A20" s="321" t="s">
        <v>176</v>
      </c>
      <c r="B20" s="322"/>
      <c r="C20" s="322"/>
      <c r="D20" s="323"/>
      <c r="F20" s="292">
        <f>SUM(' Proposed Study Budget '!R33:R44)</f>
        <v>49534</v>
      </c>
    </row>
    <row r="21" spans="1:6" ht="15.75" thickBot="1" x14ac:dyDescent="0.3"/>
    <row r="22" spans="1:6" ht="19.5" thickBot="1" x14ac:dyDescent="0.35">
      <c r="A22" s="298" t="s">
        <v>171</v>
      </c>
      <c r="B22" s="299"/>
      <c r="C22" s="299"/>
      <c r="D22" s="299"/>
      <c r="E22" s="299"/>
      <c r="F22" s="300">
        <f>SUM(B12:C12,D16:D18,F20)</f>
        <v>232871</v>
      </c>
    </row>
    <row r="24" spans="1:6" ht="14.45" x14ac:dyDescent="0.35">
      <c r="C24" s="97"/>
    </row>
  </sheetData>
  <mergeCells count="3">
    <mergeCell ref="A1:C1"/>
    <mergeCell ref="A14:D14"/>
    <mergeCell ref="A20:D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Tabelle2</vt:lpstr>
      <vt:lpstr> Proposed Study Budget </vt:lpstr>
      <vt:lpstr>Summary of Time</vt:lpstr>
      <vt:lpstr>Payment Summary</vt:lpstr>
    </vt:vector>
  </TitlesOfParts>
  <Company>Herz- und Diabeteszentrum NRW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Example</dc:title>
  <dc:subject>Budget Example</dc:subject>
  <dc:creator>Siegling, Sabine</dc:creator>
  <cp:keywords>Budget Example</cp:keywords>
  <cp:lastModifiedBy>Department of Veterans Affairs</cp:lastModifiedBy>
  <cp:lastPrinted>2013-12-13T17:58:03Z</cp:lastPrinted>
  <dcterms:created xsi:type="dcterms:W3CDTF">2013-05-02T10:20:08Z</dcterms:created>
  <dcterms:modified xsi:type="dcterms:W3CDTF">2017-04-03T14:16:18Z</dcterms:modified>
</cp:coreProperties>
</file>